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dip\Google Drive\JP Consulting LLC\PPSEL\Finacials\2021 06 30\"/>
    </mc:Choice>
  </mc:AlternateContent>
  <xr:revisionPtr revIDLastSave="0" documentId="8_{1733ADAD-E3E9-4487-9D02-3348BFA01535}" xr6:coauthVersionLast="47" xr6:coauthVersionMax="47" xr10:uidLastSave="{00000000-0000-0000-0000-000000000000}"/>
  <bookViews>
    <workbookView xWindow="1032" yWindow="1584" windowWidth="17616" windowHeight="10416" tabRatio="890" firstSheet="1" activeTab="5" xr2:uid="{00000000-000D-0000-FFFF-FFFF00000000}"/>
  </bookViews>
  <sheets>
    <sheet name="PPSEL Balance Sheet" sheetId="1" r:id="rId1"/>
    <sheet name="PPSEl P&amp;L budget to actual" sheetId="3" r:id="rId2"/>
    <sheet name="PPSEL Trial Balance" sheetId="4" r:id="rId3"/>
    <sheet name="Bldg Corp Trial Balance" sheetId="2" r:id="rId4"/>
    <sheet name="Bldg Corp Balance Sheet" sheetId="5" r:id="rId5"/>
    <sheet name="Bldg Corp Profit &amp; Los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6" l="1"/>
  <c r="F38" i="6"/>
  <c r="F39" i="6" s="1"/>
  <c r="F44" i="6" s="1"/>
  <c r="F31" i="6"/>
  <c r="F32" i="6" s="1"/>
  <c r="F24" i="6"/>
  <c r="F19" i="6"/>
  <c r="F25" i="6" s="1"/>
  <c r="F26" i="6" s="1"/>
  <c r="F8" i="6"/>
  <c r="F9" i="6" s="1"/>
  <c r="F10" i="6" s="1"/>
  <c r="F33" i="6" s="1"/>
  <c r="F43" i="5"/>
  <c r="F38" i="5"/>
  <c r="F39" i="5" s="1"/>
  <c r="F44" i="5" s="1"/>
  <c r="F31" i="5"/>
  <c r="F32" i="5" s="1"/>
  <c r="F24" i="5"/>
  <c r="F19" i="5"/>
  <c r="F25" i="5" s="1"/>
  <c r="F26" i="5" s="1"/>
  <c r="F8" i="5"/>
  <c r="F9" i="5" s="1"/>
  <c r="F10" i="5" s="1"/>
  <c r="F33" i="5" s="1"/>
  <c r="B142" i="4" l="1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43" i="4" s="1"/>
  <c r="B12" i="4"/>
  <c r="B11" i="4"/>
  <c r="B10" i="4"/>
  <c r="B9" i="4"/>
  <c r="B8" i="4"/>
  <c r="B7" i="4"/>
  <c r="B6" i="4"/>
  <c r="B143" i="4" s="1"/>
  <c r="C165" i="3"/>
  <c r="C166" i="3" s="1"/>
  <c r="B164" i="3"/>
  <c r="B165" i="3" s="1"/>
  <c r="B160" i="3"/>
  <c r="D160" i="3" s="1"/>
  <c r="B159" i="3"/>
  <c r="D158" i="3"/>
  <c r="C158" i="3"/>
  <c r="C159" i="3" s="1"/>
  <c r="D159" i="3" s="1"/>
  <c r="B158" i="3"/>
  <c r="D157" i="3"/>
  <c r="C155" i="3"/>
  <c r="D155" i="3" s="1"/>
  <c r="B155" i="3"/>
  <c r="B156" i="3" s="1"/>
  <c r="C154" i="3"/>
  <c r="D154" i="3" s="1"/>
  <c r="B154" i="3"/>
  <c r="D153" i="3"/>
  <c r="B152" i="3"/>
  <c r="D151" i="3"/>
  <c r="C151" i="3"/>
  <c r="D150" i="3"/>
  <c r="C150" i="3"/>
  <c r="C149" i="3"/>
  <c r="D149" i="3" s="1"/>
  <c r="B149" i="3"/>
  <c r="D148" i="3"/>
  <c r="C148" i="3"/>
  <c r="B148" i="3"/>
  <c r="D147" i="3"/>
  <c r="B147" i="3"/>
  <c r="B146" i="3"/>
  <c r="D146" i="3" s="1"/>
  <c r="B145" i="3"/>
  <c r="D145" i="3" s="1"/>
  <c r="D144" i="3"/>
  <c r="C144" i="3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D139" i="3"/>
  <c r="C139" i="3"/>
  <c r="C138" i="3"/>
  <c r="D138" i="3" s="1"/>
  <c r="B138" i="3"/>
  <c r="C137" i="3"/>
  <c r="D137" i="3" s="1"/>
  <c r="B137" i="3"/>
  <c r="D136" i="3"/>
  <c r="C136" i="3"/>
  <c r="B136" i="3"/>
  <c r="D135" i="3"/>
  <c r="C135" i="3"/>
  <c r="B135" i="3"/>
  <c r="C134" i="3"/>
  <c r="D134" i="3" s="1"/>
  <c r="D133" i="3"/>
  <c r="C133" i="3"/>
  <c r="B133" i="3"/>
  <c r="D132" i="3"/>
  <c r="C132" i="3"/>
  <c r="B132" i="3"/>
  <c r="B131" i="3"/>
  <c r="D131" i="3" s="1"/>
  <c r="D130" i="3"/>
  <c r="B128" i="3"/>
  <c r="D128" i="3" s="1"/>
  <c r="C127" i="3"/>
  <c r="D127" i="3" s="1"/>
  <c r="B127" i="3"/>
  <c r="D126" i="3"/>
  <c r="C126" i="3"/>
  <c r="B126" i="3"/>
  <c r="C125" i="3"/>
  <c r="D125" i="3" s="1"/>
  <c r="C124" i="3"/>
  <c r="D124" i="3" s="1"/>
  <c r="B124" i="3"/>
  <c r="D123" i="3"/>
  <c r="C123" i="3"/>
  <c r="D122" i="3"/>
  <c r="C122" i="3"/>
  <c r="B122" i="3"/>
  <c r="C121" i="3"/>
  <c r="D121" i="3" s="1"/>
  <c r="B121" i="3"/>
  <c r="D120" i="3"/>
  <c r="C120" i="3"/>
  <c r="B120" i="3"/>
  <c r="D119" i="3"/>
  <c r="B119" i="3"/>
  <c r="C118" i="3"/>
  <c r="D118" i="3" s="1"/>
  <c r="B118" i="3"/>
  <c r="D117" i="3"/>
  <c r="C117" i="3"/>
  <c r="B117" i="3"/>
  <c r="C116" i="3"/>
  <c r="B116" i="3"/>
  <c r="D116" i="3" s="1"/>
  <c r="C115" i="3"/>
  <c r="D115" i="3" s="1"/>
  <c r="B115" i="3"/>
  <c r="B129" i="3" s="1"/>
  <c r="C114" i="3"/>
  <c r="C129" i="3" s="1"/>
  <c r="D129" i="3" s="1"/>
  <c r="D113" i="3"/>
  <c r="B112" i="3"/>
  <c r="D111" i="3"/>
  <c r="B111" i="3"/>
  <c r="C110" i="3"/>
  <c r="D110" i="3" s="1"/>
  <c r="B110" i="3"/>
  <c r="C109" i="3"/>
  <c r="D109" i="3" s="1"/>
  <c r="B109" i="3"/>
  <c r="D108" i="3"/>
  <c r="C108" i="3"/>
  <c r="B108" i="3"/>
  <c r="D107" i="3"/>
  <c r="B107" i="3"/>
  <c r="B106" i="3"/>
  <c r="D106" i="3" s="1"/>
  <c r="C105" i="3"/>
  <c r="D105" i="3" s="1"/>
  <c r="B105" i="3"/>
  <c r="C104" i="3"/>
  <c r="D104" i="3" s="1"/>
  <c r="B104" i="3"/>
  <c r="D103" i="3"/>
  <c r="D101" i="3"/>
  <c r="C101" i="3"/>
  <c r="B101" i="3"/>
  <c r="C100" i="3"/>
  <c r="B100" i="3"/>
  <c r="D100" i="3" s="1"/>
  <c r="C99" i="3"/>
  <c r="D99" i="3" s="1"/>
  <c r="B99" i="3"/>
  <c r="C98" i="3"/>
  <c r="D98" i="3" s="1"/>
  <c r="B98" i="3"/>
  <c r="C97" i="3"/>
  <c r="D97" i="3" s="1"/>
  <c r="B97" i="3"/>
  <c r="D96" i="3"/>
  <c r="C96" i="3"/>
  <c r="B96" i="3"/>
  <c r="D95" i="3"/>
  <c r="C95" i="3"/>
  <c r="B95" i="3"/>
  <c r="B94" i="3"/>
  <c r="D94" i="3" s="1"/>
  <c r="D93" i="3"/>
  <c r="C93" i="3"/>
  <c r="B93" i="3"/>
  <c r="D92" i="3"/>
  <c r="C92" i="3"/>
  <c r="B92" i="3"/>
  <c r="C91" i="3"/>
  <c r="D91" i="3" s="1"/>
  <c r="B91" i="3"/>
  <c r="C90" i="3"/>
  <c r="B90" i="3"/>
  <c r="D90" i="3" s="1"/>
  <c r="C89" i="3"/>
  <c r="B89" i="3"/>
  <c r="D89" i="3" s="1"/>
  <c r="C88" i="3"/>
  <c r="D88" i="3" s="1"/>
  <c r="B88" i="3"/>
  <c r="C87" i="3"/>
  <c r="D87" i="3" s="1"/>
  <c r="B87" i="3"/>
  <c r="C86" i="3"/>
  <c r="D86" i="3" s="1"/>
  <c r="B85" i="3"/>
  <c r="D85" i="3" s="1"/>
  <c r="D84" i="3"/>
  <c r="C84" i="3"/>
  <c r="D83" i="3"/>
  <c r="B81" i="3"/>
  <c r="D81" i="3" s="1"/>
  <c r="C80" i="3"/>
  <c r="B80" i="3"/>
  <c r="D80" i="3" s="1"/>
  <c r="B79" i="3"/>
  <c r="D79" i="3" s="1"/>
  <c r="B78" i="3"/>
  <c r="D78" i="3" s="1"/>
  <c r="D77" i="3"/>
  <c r="C77" i="3"/>
  <c r="B77" i="3"/>
  <c r="D76" i="3"/>
  <c r="C76" i="3"/>
  <c r="B76" i="3"/>
  <c r="B75" i="3"/>
  <c r="D75" i="3" s="1"/>
  <c r="D74" i="3"/>
  <c r="B74" i="3"/>
  <c r="C73" i="3"/>
  <c r="D73" i="3" s="1"/>
  <c r="B73" i="3"/>
  <c r="C72" i="3"/>
  <c r="D72" i="3" s="1"/>
  <c r="B72" i="3"/>
  <c r="D71" i="3"/>
  <c r="C71" i="3"/>
  <c r="B71" i="3"/>
  <c r="D70" i="3"/>
  <c r="C70" i="3"/>
  <c r="B70" i="3"/>
  <c r="B69" i="3"/>
  <c r="D69" i="3" s="1"/>
  <c r="D68" i="3"/>
  <c r="C68" i="3"/>
  <c r="B68" i="3"/>
  <c r="D67" i="3"/>
  <c r="C67" i="3"/>
  <c r="B67" i="3"/>
  <c r="B66" i="3"/>
  <c r="D66" i="3" s="1"/>
  <c r="D65" i="3"/>
  <c r="C65" i="3"/>
  <c r="B65" i="3"/>
  <c r="D64" i="3"/>
  <c r="C64" i="3"/>
  <c r="B64" i="3"/>
  <c r="B63" i="3"/>
  <c r="D63" i="3" s="1"/>
  <c r="D62" i="3"/>
  <c r="C62" i="3"/>
  <c r="B62" i="3"/>
  <c r="D61" i="3"/>
  <c r="B61" i="3"/>
  <c r="C60" i="3"/>
  <c r="D60" i="3" s="1"/>
  <c r="B60" i="3"/>
  <c r="D59" i="3"/>
  <c r="B59" i="3"/>
  <c r="B58" i="3"/>
  <c r="D58" i="3" s="1"/>
  <c r="B57" i="3"/>
  <c r="D57" i="3" s="1"/>
  <c r="B56" i="3"/>
  <c r="D56" i="3" s="1"/>
  <c r="D55" i="3"/>
  <c r="B55" i="3"/>
  <c r="C54" i="3"/>
  <c r="D54" i="3" s="1"/>
  <c r="B54" i="3"/>
  <c r="B53" i="3"/>
  <c r="D53" i="3" s="1"/>
  <c r="D52" i="3"/>
  <c r="D50" i="3"/>
  <c r="C50" i="3"/>
  <c r="B50" i="3"/>
  <c r="C49" i="3"/>
  <c r="D49" i="3" s="1"/>
  <c r="B49" i="3"/>
  <c r="D48" i="3"/>
  <c r="B48" i="3"/>
  <c r="D47" i="3"/>
  <c r="C47" i="3"/>
  <c r="B47" i="3"/>
  <c r="C46" i="3"/>
  <c r="D46" i="3" s="1"/>
  <c r="B46" i="3"/>
  <c r="C45" i="3"/>
  <c r="B45" i="3"/>
  <c r="B51" i="3" s="1"/>
  <c r="D44" i="3"/>
  <c r="C39" i="3"/>
  <c r="C40" i="3" s="1"/>
  <c r="B39" i="3"/>
  <c r="B40" i="3" s="1"/>
  <c r="D38" i="3"/>
  <c r="C37" i="3"/>
  <c r="D37" i="3" s="1"/>
  <c r="B36" i="3"/>
  <c r="D36" i="3" s="1"/>
  <c r="B35" i="3"/>
  <c r="D35" i="3" s="1"/>
  <c r="D34" i="3"/>
  <c r="B34" i="3"/>
  <c r="D33" i="3"/>
  <c r="B33" i="3"/>
  <c r="B37" i="3" s="1"/>
  <c r="D32" i="3"/>
  <c r="C31" i="3"/>
  <c r="D31" i="3" s="1"/>
  <c r="D30" i="3"/>
  <c r="B30" i="3"/>
  <c r="D29" i="3"/>
  <c r="B29" i="3"/>
  <c r="B28" i="3"/>
  <c r="D28" i="3" s="1"/>
  <c r="B27" i="3"/>
  <c r="D27" i="3" s="1"/>
  <c r="C26" i="3"/>
  <c r="B26" i="3"/>
  <c r="D26" i="3" s="1"/>
  <c r="C25" i="3"/>
  <c r="D25" i="3" s="1"/>
  <c r="B25" i="3"/>
  <c r="B24" i="3"/>
  <c r="B31" i="3" s="1"/>
  <c r="D23" i="3"/>
  <c r="C21" i="3"/>
  <c r="D21" i="3" s="1"/>
  <c r="B21" i="3"/>
  <c r="D20" i="3"/>
  <c r="B20" i="3"/>
  <c r="B19" i="3"/>
  <c r="D19" i="3" s="1"/>
  <c r="C18" i="3"/>
  <c r="D18" i="3" s="1"/>
  <c r="B18" i="3"/>
  <c r="B17" i="3"/>
  <c r="D17" i="3" s="1"/>
  <c r="D16" i="3"/>
  <c r="B16" i="3"/>
  <c r="D15" i="3"/>
  <c r="B15" i="3"/>
  <c r="B14" i="3"/>
  <c r="D14" i="3" s="1"/>
  <c r="B13" i="3"/>
  <c r="D13" i="3" s="1"/>
  <c r="D12" i="3"/>
  <c r="C12" i="3"/>
  <c r="D11" i="3"/>
  <c r="C11" i="3"/>
  <c r="B11" i="3"/>
  <c r="C10" i="3"/>
  <c r="C22" i="3" s="1"/>
  <c r="B10" i="3"/>
  <c r="C9" i="3"/>
  <c r="B9" i="3"/>
  <c r="B22" i="3" s="1"/>
  <c r="D8" i="3"/>
  <c r="E26" i="2"/>
  <c r="C26" i="2"/>
  <c r="B50" i="1"/>
  <c r="B49" i="1"/>
  <c r="B48" i="1"/>
  <c r="B51" i="1" s="1"/>
  <c r="B42" i="1"/>
  <c r="B41" i="1"/>
  <c r="B40" i="1"/>
  <c r="B39" i="1"/>
  <c r="B38" i="1"/>
  <c r="B37" i="1"/>
  <c r="B36" i="1"/>
  <c r="B35" i="1"/>
  <c r="B34" i="1"/>
  <c r="B33" i="1"/>
  <c r="B32" i="1"/>
  <c r="B31" i="1"/>
  <c r="B43" i="1" s="1"/>
  <c r="B44" i="1" s="1"/>
  <c r="B28" i="1"/>
  <c r="B27" i="1"/>
  <c r="B29" i="1" s="1"/>
  <c r="B19" i="1"/>
  <c r="B20" i="1" s="1"/>
  <c r="B16" i="1"/>
  <c r="B17" i="1" s="1"/>
  <c r="B13" i="1"/>
  <c r="B14" i="1" s="1"/>
  <c r="B21" i="1" s="1"/>
  <c r="B22" i="1" s="1"/>
  <c r="B12" i="1"/>
  <c r="B11" i="1"/>
  <c r="B10" i="1"/>
  <c r="B9" i="1"/>
  <c r="D40" i="3" l="1"/>
  <c r="B41" i="3"/>
  <c r="B42" i="3" s="1"/>
  <c r="D165" i="3"/>
  <c r="B166" i="3"/>
  <c r="D22" i="3"/>
  <c r="C41" i="3"/>
  <c r="D166" i="3"/>
  <c r="B102" i="3"/>
  <c r="C152" i="3"/>
  <c r="D152" i="3" s="1"/>
  <c r="D9" i="3"/>
  <c r="D45" i="3"/>
  <c r="C51" i="3"/>
  <c r="D10" i="3"/>
  <c r="D39" i="3"/>
  <c r="B82" i="3"/>
  <c r="B161" i="3" s="1"/>
  <c r="C112" i="3"/>
  <c r="D112" i="3" s="1"/>
  <c r="C102" i="3"/>
  <c r="D102" i="3" s="1"/>
  <c r="C82" i="3"/>
  <c r="C156" i="3"/>
  <c r="D156" i="3" s="1"/>
  <c r="D24" i="3"/>
  <c r="D164" i="3"/>
  <c r="D114" i="3"/>
  <c r="B45" i="1"/>
  <c r="B46" i="1" s="1"/>
  <c r="B52" i="1" s="1"/>
  <c r="D41" i="3" l="1"/>
  <c r="C42" i="3"/>
  <c r="D51" i="3"/>
  <c r="C161" i="3"/>
  <c r="D161" i="3" s="1"/>
  <c r="D82" i="3"/>
  <c r="B162" i="3"/>
  <c r="B167" i="3" s="1"/>
  <c r="D42" i="3" l="1"/>
  <c r="C162" i="3"/>
  <c r="C167" i="3" l="1"/>
  <c r="D167" i="3" s="1"/>
  <c r="D162" i="3"/>
</calcChain>
</file>

<file path=xl/sharedStrings.xml><?xml version="1.0" encoding="utf-8"?>
<sst xmlns="http://schemas.openxmlformats.org/spreadsheetml/2006/main" count="480" uniqueCount="423">
  <si>
    <t>Total</t>
  </si>
  <si>
    <t>ASSETS</t>
  </si>
  <si>
    <t xml:space="preserve">   Current Assets</t>
  </si>
  <si>
    <t xml:space="preserve">      Bank Accounts</t>
  </si>
  <si>
    <t xml:space="preserve">         8101003 FSB General Fund</t>
  </si>
  <si>
    <t xml:space="preserve">         8101008 FSB PTO / Activity Acct</t>
  </si>
  <si>
    <t xml:space="preserve">         8101023 Sunflower General Fund</t>
  </si>
  <si>
    <t xml:space="preserve">         8101026 Sunflower PTO Account</t>
  </si>
  <si>
    <t xml:space="preserve">         8111001 Sunflower MM General</t>
  </si>
  <si>
    <t xml:space="preserve">      Total Bank Accounts</t>
  </si>
  <si>
    <t xml:space="preserve">      Accounts Receivable</t>
  </si>
  <si>
    <t xml:space="preserve">         8153001 Accounts Receivable Other</t>
  </si>
  <si>
    <t xml:space="preserve">      Total Accounts Receivable</t>
  </si>
  <si>
    <t xml:space="preserve">      Other Current Assets</t>
  </si>
  <si>
    <t xml:space="preserve">         Undeposited Funds</t>
  </si>
  <si>
    <t xml:space="preserve">      Total Other Current Assets</t>
  </si>
  <si>
    <t xml:space="preserve">   Total Current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</si>
  <si>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</si>
  <si>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</si>
  <si>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</si>
  <si>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</si>
  <si>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</si>
  <si>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7421000 Accounts Payable</t>
  </si>
  <si>
    <t xml:space="preserve">            7461000 Accrued Salary &amp; Benefits</t>
  </si>
  <si>
    <t xml:space="preserve">         Total Accounts Payable</t>
  </si>
  <si>
    <t xml:space="preserve">         Other Current Liabilities</t>
  </si>
  <si>
    <t xml:space="preserve">            7471000 Payroll Liabilities</t>
  </si>
  <si>
    <t xml:space="preserve">               7471004 Aflac</t>
  </si>
  <si>
    <t xml:space="preserve">               7471005 PERA Contribution Employee</t>
  </si>
  <si>
    <t xml:space="preserve">               7471006 PERA 401K Employee</t>
  </si>
  <si>
    <t xml:space="preserve">               7471011 Health Insurance PPSEL</t>
  </si>
  <si>
    <t xml:space="preserve">               7471014 Life Insurance PPSEL</t>
  </si>
  <si>
    <t xml:space="preserve">               7471015 Colorado Unemployment</t>
  </si>
  <si>
    <t xml:space="preserve">               7471016 Colorado Withholding</t>
  </si>
  <si>
    <t xml:space="preserve">               7471017 Federal Withholding</t>
  </si>
  <si>
    <t xml:space="preserve">               7471018 Medicare Employee</t>
  </si>
  <si>
    <t xml:space="preserve">               7471019 Medicare Company</t>
  </si>
  <si>
    <t xml:space="preserve">               7471020 PERA PPSEL</t>
  </si>
  <si>
    <t xml:space="preserve">            Total 7471000 Payroll Liabilities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</si>
  <si>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</si>
  <si>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</si>
  <si>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</si>
  <si>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</si>
  <si>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6721000 Restricted Tabor Reserve</t>
  </si>
  <si>
    <t xml:space="preserve">      6770000 Unassigned Fund Balance</t>
  </si>
  <si>
    <t xml:space="preserve">      Net Revenue</t>
  </si>
  <si>
    <t xml:space="preserve">   Total Equity</t>
  </si>
  <si>
    <t>TOTAL LIABILITIES AND EQUITY</t>
  </si>
  <si>
    <t>Tuesday, Aug 10, 2021 07:35:55 AM GMT-7 - Accrual Basis</t>
  </si>
  <si>
    <t>Pikes Peak School of Expeditionary Learning</t>
  </si>
  <si>
    <t>Balance Sheet FY21</t>
  </si>
  <si>
    <t>As of June 30, 2021</t>
  </si>
  <si>
    <t>Jun 30, 21</t>
  </si>
  <si>
    <t>Debit</t>
  </si>
  <si>
    <t>Credit</t>
  </si>
  <si>
    <t>52-8111-002 Investment Accounts:PPSEL Interest Series 2021</t>
  </si>
  <si>
    <t>52-8111-002 Investment Accounts:PPSEL Principal Series 2021</t>
  </si>
  <si>
    <t>52-8231 Buildings &amp; Improvement:Depreciated:Antlers Ridge Drive Property</t>
  </si>
  <si>
    <t>52-8231 Buildings &amp; Improvement:Depreciated:Furniture &amp; Equipment</t>
  </si>
  <si>
    <t>52-8231 Buildings &amp; Improvement:Depreciated:Furniture &amp; Equipment Deprec.</t>
  </si>
  <si>
    <t>52-8231 Buildings &amp; Improvement:Depreciated:Land Improvement</t>
  </si>
  <si>
    <t>52-8231 Buildings &amp; Improvement:Depreciated:Property Accumulated Deprec</t>
  </si>
  <si>
    <t>52-8231 Buildings &amp; Improvement:Not Depreciated:Land - Antlers Ridge Drive</t>
  </si>
  <si>
    <t>52-8231 Buildings &amp; Improvement:Not Depreciated:Land - Water Rights</t>
  </si>
  <si>
    <t>52-8231 Buildings &amp; Improvement:Not Depreciated:Land Improvements</t>
  </si>
  <si>
    <t>Loss on Debt Refunding</t>
  </si>
  <si>
    <t>Loss on Debt Refunding:Accum Amortization of Loss</t>
  </si>
  <si>
    <t>Bond Series 2021</t>
  </si>
  <si>
    <t>52-6770 Retained Earnings</t>
  </si>
  <si>
    <t>42-1510 Interest on Investments</t>
  </si>
  <si>
    <t>52-1910 Lease Revenue</t>
  </si>
  <si>
    <t>Bank Service Charges</t>
  </si>
  <si>
    <t>Debt Service:52-5100-0831 Interest Expense</t>
  </si>
  <si>
    <t>Facilities Acquisition:52-3220-0740 Depreciation Exp</t>
  </si>
  <si>
    <t>Facilities Acquisition:Debt Issuance Costs</t>
  </si>
  <si>
    <t>Issuance Cost Amortization</t>
  </si>
  <si>
    <t>Lease Payments</t>
  </si>
  <si>
    <t>Professional Fees</t>
  </si>
  <si>
    <t>TOTAL</t>
  </si>
  <si>
    <t>Actual vs Budget FY21 Revised</t>
  </si>
  <si>
    <t>July 2020 - June 2021</t>
  </si>
  <si>
    <t>Actual</t>
  </si>
  <si>
    <t>Budget</t>
  </si>
  <si>
    <t>Remaining</t>
  </si>
  <si>
    <t>Revenue</t>
  </si>
  <si>
    <t xml:space="preserve">   1000 Local Sources</t>
  </si>
  <si>
    <t xml:space="preserve">      1510000 Interest on Investments</t>
  </si>
  <si>
    <t xml:space="preserve">      1740000 Student Fee Income</t>
  </si>
  <si>
    <t xml:space="preserve">      1740001 Pre K Supplies Fees</t>
  </si>
  <si>
    <t xml:space="preserve">      1740002 Projects &amp; Activities Income</t>
  </si>
  <si>
    <t xml:space="preserve">      1750000 Fund Raisers</t>
  </si>
  <si>
    <t xml:space="preserve">      1750002 Used School Shirts</t>
  </si>
  <si>
    <t xml:space="preserve">      1790001 Yearbook &amp; Photos</t>
  </si>
  <si>
    <t xml:space="preserve">      1850000 Pre Kindergarten</t>
  </si>
  <si>
    <t xml:space="preserve">      1910000 Rental Income Gym Usage</t>
  </si>
  <si>
    <t xml:space="preserve">      1920001 Unrestricted Donations</t>
  </si>
  <si>
    <t xml:space="preserve">      1990000 Miscellaneous</t>
  </si>
  <si>
    <t xml:space="preserve">      1990001 Grant Income</t>
  </si>
  <si>
    <t xml:space="preserve">      1990002 Mill Levy Override Funds</t>
  </si>
  <si>
    <t xml:space="preserve">   Total 1000 Local Sources</t>
  </si>
  <si>
    <t xml:space="preserve">   3000 State Sources</t>
  </si>
  <si>
    <t xml:space="preserve">      0394010 State Grant 3245 Retaining Teachers</t>
  </si>
  <si>
    <t xml:space="preserve">      3954000 READ Grant 3206</t>
  </si>
  <si>
    <t xml:space="preserve">      3954001 Charter Capital Con. Grant 3113</t>
  </si>
  <si>
    <t xml:space="preserve">      3954002 Other State Rev / CDE</t>
  </si>
  <si>
    <t xml:space="preserve">      3954004 State ELPA 3139</t>
  </si>
  <si>
    <t xml:space="preserve">      3954005 State ELPA 3140</t>
  </si>
  <si>
    <t xml:space="preserve">      3954006 State Library Grant</t>
  </si>
  <si>
    <t xml:space="preserve">   Total 3000 State Sources</t>
  </si>
  <si>
    <t xml:space="preserve">   4000 Federal Sources</t>
  </si>
  <si>
    <t xml:space="preserve">      0494003 ESSER I 4425</t>
  </si>
  <si>
    <t xml:space="preserve">      0494004 ESSER II #4420</t>
  </si>
  <si>
    <t xml:space="preserve">      4954000 Impact Aid Grant 4041</t>
  </si>
  <si>
    <t xml:space="preserve">      4954001 COVID Relief Grant 4012</t>
  </si>
  <si>
    <t xml:space="preserve">   Total 4000 Federal Sources</t>
  </si>
  <si>
    <t xml:space="preserve">   5000 Other Sources</t>
  </si>
  <si>
    <t xml:space="preserve">      5710000 Charter School PPR</t>
  </si>
  <si>
    <t xml:space="preserve">   Total 5000 Other Sources</t>
  </si>
  <si>
    <t>Total Revenue</t>
  </si>
  <si>
    <t>Gross Profit</t>
  </si>
  <si>
    <t>Expenditures</t>
  </si>
  <si>
    <t xml:space="preserve">   0100 Salaries</t>
  </si>
  <si>
    <t xml:space="preserve">      0110100 Salaries Administrator</t>
  </si>
  <si>
    <t xml:space="preserve">      0110201 Salary Teacher</t>
  </si>
  <si>
    <t xml:space="preserve">      0110414 Salary Lunch Monitor</t>
  </si>
  <si>
    <t xml:space="preserve">      0110415 Salary Teacher Assistants</t>
  </si>
  <si>
    <t xml:space="preserve">      0110500 Salaries Clerical</t>
  </si>
  <si>
    <t xml:space="preserve">      0110608 Salary Custodian</t>
  </si>
  <si>
    <t xml:space="preserve">   Total 0100 Salaries</t>
  </si>
  <si>
    <t xml:space="preserve">   0200 Employee Benefits</t>
  </si>
  <si>
    <t xml:space="preserve">      0210100 Life / Disability Admin</t>
  </si>
  <si>
    <t xml:space="preserve">      0210201 Life / Disability Teachers</t>
  </si>
  <si>
    <t xml:space="preserve">      0210414 Life / Disability Lunch Monitor</t>
  </si>
  <si>
    <t xml:space="preserve">      0210415 Life / Disability Teacher Asst.</t>
  </si>
  <si>
    <t xml:space="preserve">      0210500 Life / Disability Office</t>
  </si>
  <si>
    <t xml:space="preserve">      0210608 Life / Disability Custodial</t>
  </si>
  <si>
    <t xml:space="preserve">      0221100 Medicare Admin</t>
  </si>
  <si>
    <t xml:space="preserve">      0221200 Medicare Teachers</t>
  </si>
  <si>
    <t xml:space="preserve">      0221414 Medicare TA</t>
  </si>
  <si>
    <t xml:space="preserve">      0221415 Medicare Lunch Monitor</t>
  </si>
  <si>
    <t xml:space="preserve">      0221500 Medicare Clerical</t>
  </si>
  <si>
    <t xml:space="preserve">      0221608 Medicare Custodian</t>
  </si>
  <si>
    <t xml:space="preserve">      0230100 PERA Contribution Admin</t>
  </si>
  <si>
    <t xml:space="preserve">      0230101 PERA 9.5% AED</t>
  </si>
  <si>
    <t xml:space="preserve">      0230200 PERA Contributions Teachers</t>
  </si>
  <si>
    <t xml:space="preserve">      0230414 PERA Lunch Monitor</t>
  </si>
  <si>
    <t xml:space="preserve">      0230415 PERA Contributions Teach Asst.</t>
  </si>
  <si>
    <t xml:space="preserve">      0230500 PERA Contribution Clerical</t>
  </si>
  <si>
    <t xml:space="preserve">      0230608 PERA Contribution Custodian</t>
  </si>
  <si>
    <t xml:space="preserve">      0251100 Health Dental Vision Ins. Admin</t>
  </si>
  <si>
    <t xml:space="preserve">      0251200 Health Dental Vision Ins. Teacher</t>
  </si>
  <si>
    <t xml:space="preserve">      0251415 Health Dental Vision Ins Teach Asst.</t>
  </si>
  <si>
    <t xml:space="preserve">      0251500 Health Dental Vision Ins. Clerical</t>
  </si>
  <si>
    <t xml:space="preserve">      0290100 Bonus Administration</t>
  </si>
  <si>
    <t xml:space="preserve">      0290200 Bonus Teacher</t>
  </si>
  <si>
    <t xml:space="preserve">      0290414 Bonus Lunch Monitor</t>
  </si>
  <si>
    <t xml:space="preserve">      0290415 Bonus Teacher Asst.</t>
  </si>
  <si>
    <t xml:space="preserve">      0290500 Bonus Clerical</t>
  </si>
  <si>
    <t xml:space="preserve">      0290608 Bonus Custodian</t>
  </si>
  <si>
    <t xml:space="preserve">   Total 0200 Employee Benefits</t>
  </si>
  <si>
    <t xml:space="preserve">   0300 Purchased Prof &amp; Tech Svs</t>
  </si>
  <si>
    <t xml:space="preserve">      0300001 Purchased Prof &amp; Tech Services</t>
  </si>
  <si>
    <t xml:space="preserve">      0313000 Banking Service Fees</t>
  </si>
  <si>
    <t xml:space="preserve">      0313001 Bank Fees</t>
  </si>
  <si>
    <t xml:space="preserve">      0313003 Finance Charges</t>
  </si>
  <si>
    <t xml:space="preserve">      0330001 Other Prof Svs Temp Support</t>
  </si>
  <si>
    <t xml:space="preserve">      0331000 Legal Services</t>
  </si>
  <si>
    <t xml:space="preserve">      0332000 Audit Services</t>
  </si>
  <si>
    <t xml:space="preserve">      0335000 Nursing Services</t>
  </si>
  <si>
    <t xml:space="preserve">      0339000 Background Checks</t>
  </si>
  <si>
    <t xml:space="preserve">      0339001 Payroll Processing Fees</t>
  </si>
  <si>
    <t xml:space="preserve">      0339002 IT Services</t>
  </si>
  <si>
    <t xml:space="preserve">      0339006 Daycare Contract Labor</t>
  </si>
  <si>
    <t xml:space="preserve">      0339010 Accounting Svs</t>
  </si>
  <si>
    <t xml:space="preserve">      0339011 Bond Related Fees</t>
  </si>
  <si>
    <t xml:space="preserve">      0350000 Staff Training &amp; Development</t>
  </si>
  <si>
    <t xml:space="preserve">      0350003 Licenses</t>
  </si>
  <si>
    <t xml:space="preserve">      0390000 D49 Buyback SIS Powerschool</t>
  </si>
  <si>
    <t xml:space="preserve">      0390001 Buyback D49 Central Admin</t>
  </si>
  <si>
    <t xml:space="preserve">   Total 0300 Purchased Prof &amp; Tech Svs</t>
  </si>
  <si>
    <t xml:space="preserve">   0400 Purchased Property Svs</t>
  </si>
  <si>
    <t xml:space="preserve">      0411000 Water &amp; Sewer</t>
  </si>
  <si>
    <t xml:space="preserve">      0421000 Trash Disposal</t>
  </si>
  <si>
    <t xml:space="preserve">      0422000 Snow Removal</t>
  </si>
  <si>
    <t xml:space="preserve">      0430000 Equipment Repairs</t>
  </si>
  <si>
    <t xml:space="preserve">      0431000 Building Lease</t>
  </si>
  <si>
    <t xml:space="preserve">      0432000 Copier Maintenance</t>
  </si>
  <si>
    <t xml:space="preserve">      0442000 Rental Equipment Copier</t>
  </si>
  <si>
    <t xml:space="preserve">      0442001 Equipment Rental Storage Unit</t>
  </si>
  <si>
    <t xml:space="preserve">   Total 0400 Purchased Property Svs</t>
  </si>
  <si>
    <t xml:space="preserve">   0500 Other Purchased Svs</t>
  </si>
  <si>
    <t xml:space="preserve">      0513000 Contracted Field Trip</t>
  </si>
  <si>
    <t xml:space="preserve">      0521000 Liability Insurance</t>
  </si>
  <si>
    <t xml:space="preserve">      0525000 Colorado Unemployment</t>
  </si>
  <si>
    <t xml:space="preserve">      0526000 Workers Comp Insurance</t>
  </si>
  <si>
    <t xml:space="preserve">      0530000 Internet Access</t>
  </si>
  <si>
    <t xml:space="preserve">      0530003 Misc Purchased Services</t>
  </si>
  <si>
    <t xml:space="preserve">      0531000 Phone/Fax</t>
  </si>
  <si>
    <t xml:space="preserve">      0533000 Postage</t>
  </si>
  <si>
    <t xml:space="preserve">      0540000 Staff Recruitment</t>
  </si>
  <si>
    <t xml:space="preserve">      0540001 Advertising &amp; Marketing</t>
  </si>
  <si>
    <t xml:space="preserve">      0580000 Travel, Registration &amp; Entrance</t>
  </si>
  <si>
    <t xml:space="preserve">      0580001 Conference Fees</t>
  </si>
  <si>
    <t xml:space="preserve">      0585000 Staff/Student/Volunteer Support</t>
  </si>
  <si>
    <t xml:space="preserve">      0594000 D49 Buyback SPED</t>
  </si>
  <si>
    <t xml:space="preserve">      0594001 Purchased Transportation Svs D49</t>
  </si>
  <si>
    <t xml:space="preserve">   Total 0500 Other Purchased Svs</t>
  </si>
  <si>
    <t xml:space="preserve">   0600 Supplies</t>
  </si>
  <si>
    <t xml:space="preserve">      0610000 Supplies Classroom</t>
  </si>
  <si>
    <t xml:space="preserve">      0610001 Supplies Expedition</t>
  </si>
  <si>
    <t xml:space="preserve">      0610003 Supplies Office General</t>
  </si>
  <si>
    <t xml:space="preserve">      0610004 Supplies After School Program</t>
  </si>
  <si>
    <t xml:space="preserve">      0610005 Supplies Classroom Library</t>
  </si>
  <si>
    <t xml:space="preserve">      0610006 Supplies Art</t>
  </si>
  <si>
    <t xml:space="preserve">      0610007 Supplies Music</t>
  </si>
  <si>
    <t xml:space="preserve">      0610008 PTO Expense</t>
  </si>
  <si>
    <t xml:space="preserve">      0610009 Supplies General Office</t>
  </si>
  <si>
    <t xml:space="preserve">      0610010 Printing &amp; Copy Supplies</t>
  </si>
  <si>
    <t xml:space="preserve">      0610011 Supplies Health</t>
  </si>
  <si>
    <t xml:space="preserve">      0610015 Supplies PE</t>
  </si>
  <si>
    <t xml:space="preserve">      0612000 Miscellaneous</t>
  </si>
  <si>
    <t xml:space="preserve">      0614000 Supplies Bldg &amp; Grounds</t>
  </si>
  <si>
    <t xml:space="preserve">      0615000 Supplies Bathroom</t>
  </si>
  <si>
    <t xml:space="preserve">      0621000 Natural Gas</t>
  </si>
  <si>
    <t xml:space="preserve">      0622000 Electricity</t>
  </si>
  <si>
    <t xml:space="preserve">      0640004 Textbooks &amp; Curriculum</t>
  </si>
  <si>
    <t xml:space="preserve">      0650001 Electronic Media Software</t>
  </si>
  <si>
    <t xml:space="preserve">      0650002 Electronic Media Materials</t>
  </si>
  <si>
    <t xml:space="preserve">      0650003 Software License</t>
  </si>
  <si>
    <t xml:space="preserve">   Total 0600 Supplies</t>
  </si>
  <si>
    <t xml:space="preserve">   0700 Property</t>
  </si>
  <si>
    <t xml:space="preserve">      0734000 Tech Equipment</t>
  </si>
  <si>
    <t xml:space="preserve">      0735000 Non-Capital Equipment</t>
  </si>
  <si>
    <t xml:space="preserve">   Total 0700 Property</t>
  </si>
  <si>
    <t xml:space="preserve">   0800 Other Objects</t>
  </si>
  <si>
    <t xml:space="preserve">      0810000 Dues &amp; Fees</t>
  </si>
  <si>
    <t xml:space="preserve">   Total 0800 Other Objects</t>
  </si>
  <si>
    <t xml:space="preserve">   Preschool Education</t>
  </si>
  <si>
    <t>Total Expenditures</t>
  </si>
  <si>
    <t>Net Operating Revenue</t>
  </si>
  <si>
    <t>Other Expenditures</t>
  </si>
  <si>
    <t xml:space="preserve">   Reconciliation Discrepancies</t>
  </si>
  <si>
    <t>Total Other Expenditures</t>
  </si>
  <si>
    <t>Net Other Revenue</t>
  </si>
  <si>
    <t>Net Revenue</t>
  </si>
  <si>
    <t>Tuesday, Aug 10, 2021 07:54:20 AM GMT-7 - Accrual Basis</t>
  </si>
  <si>
    <t>Trial Balance FY21</t>
  </si>
  <si>
    <t>8101003 FSB General Fund</t>
  </si>
  <si>
    <t>8101008 FSB PTO / Activity Acct</t>
  </si>
  <si>
    <t>8101023 Sunflower General Fund</t>
  </si>
  <si>
    <t>8101026 Sunflower PTO Account</t>
  </si>
  <si>
    <t>8111001 Sunflower MM General</t>
  </si>
  <si>
    <t>8153001 Accounts Receivable Other</t>
  </si>
  <si>
    <t>Undeposited Funds</t>
  </si>
  <si>
    <t>7421000 Accounts Payable</t>
  </si>
  <si>
    <t>7461000 Accrued Salary &amp; Benefits</t>
  </si>
  <si>
    <t>7471004 Payroll Liabilities:Aflac</t>
  </si>
  <si>
    <t>7471005 Payroll Liabilities:PERA Contribution Employee</t>
  </si>
  <si>
    <t>7471006 Payroll Liabilities:PERA 401K Employee</t>
  </si>
  <si>
    <t>7471011 Payroll Liabilities:Health Insurance PPSEL</t>
  </si>
  <si>
    <t>7471014 Payroll Liabilities:Life Insurance PPSEL</t>
  </si>
  <si>
    <t>7471015 Payroll Liabilities:Colorado Unemployment</t>
  </si>
  <si>
    <t>7471016 Payroll Liabilities:Colorado Withholding</t>
  </si>
  <si>
    <t>7471017 Payroll Liabilities:Federal Withholding</t>
  </si>
  <si>
    <t>7471018 Payroll Liabilities:Medicare Employee</t>
  </si>
  <si>
    <t>7471019 Payroll Liabilities:Medicare Company</t>
  </si>
  <si>
    <t>7471020 Payroll Liabilities:PERA PPSEL</t>
  </si>
  <si>
    <t>6721000 Restricted Tabor Reserve</t>
  </si>
  <si>
    <t>6770000 Unassigned Fund Balance</t>
  </si>
  <si>
    <t>1510000 Local Sources:Interest on Investments</t>
  </si>
  <si>
    <t>1740000 Local Sources:Student Fee Income</t>
  </si>
  <si>
    <t>1740001 Local Sources:Pre K Supplies Fees</t>
  </si>
  <si>
    <t>1750000 Local Sources:Fund Raisers</t>
  </si>
  <si>
    <t>1750002 Local Sources:Used School Shirts</t>
  </si>
  <si>
    <t>1790001 Local Sources:Yearbook &amp; Photos</t>
  </si>
  <si>
    <t>1850000 Local Sources:Pre Kindergarten</t>
  </si>
  <si>
    <t>1910000 Local Sources:Rental Income Gym Usage</t>
  </si>
  <si>
    <t>1920001 Local Sources:Unrestricted Donations</t>
  </si>
  <si>
    <t>1990000 Local Sources:Miscellaneous</t>
  </si>
  <si>
    <t>1990001 Local Sources:Grant Income</t>
  </si>
  <si>
    <t>1990002 Local Sources:Mill Levy Override Funds</t>
  </si>
  <si>
    <t>0394010 State Sources:State Grant 3245 Retaining Teachers</t>
  </si>
  <si>
    <t>3954000 State Sources:READ Grant 3206</t>
  </si>
  <si>
    <t>3954001 State Sources:Charter Capital Con. Grant 3113</t>
  </si>
  <si>
    <t>3954002 State Sources:Other State Rev / CDE</t>
  </si>
  <si>
    <t>3954004 State Sources:State ELPA 3139</t>
  </si>
  <si>
    <t>3954005 State Sources:State ELPA 3140</t>
  </si>
  <si>
    <t>3954006 State Sources:State Library Grant</t>
  </si>
  <si>
    <t>0494003 Federal Sources:ESSER I 4425</t>
  </si>
  <si>
    <t>0494004 Federal Sources:ESSER II #4420</t>
  </si>
  <si>
    <t>4954000 Federal Sources:Impact Aid Grant 4041</t>
  </si>
  <si>
    <t>4954001 Federal Sources:COVID Relief Grant 4012</t>
  </si>
  <si>
    <t>5710000 Other Sources:Charter School PPR</t>
  </si>
  <si>
    <t>0110100 Salaries:Salaries Administrator</t>
  </si>
  <si>
    <t>0110201 Salaries:Salary Teacher</t>
  </si>
  <si>
    <t>0110414 Salaries:Salary Lunch Monitor</t>
  </si>
  <si>
    <t>0110415 Salaries:Salary Teacher Assistants</t>
  </si>
  <si>
    <t>0110500 Salaries:Salaries Clerical</t>
  </si>
  <si>
    <t>0110608 Salaries:Salary Custodian</t>
  </si>
  <si>
    <t>0210100 Employee Benefits:Life / Disability Admin</t>
  </si>
  <si>
    <t>0210201 Employee Benefits:Life / Disability Teachers</t>
  </si>
  <si>
    <t>0210414 Employee Benefits:Life / Disability Lunch Monitor</t>
  </si>
  <si>
    <t>0210415 Employee Benefits:Life / Disability Teacher Asst.</t>
  </si>
  <si>
    <t>0210500 Employee Benefits:Life / Disability Office</t>
  </si>
  <si>
    <t>0210608 Employee Benefits:Life / Disability Custodial</t>
  </si>
  <si>
    <t>0221100 Employee Benefits:Medicare Admin</t>
  </si>
  <si>
    <t>0221200 Employee Benefits:Medicare Teachers</t>
  </si>
  <si>
    <t>0221414 Employee Benefits:Medicare TA</t>
  </si>
  <si>
    <t>0221415 Employee Benefits:Medicare Lunch Monitor</t>
  </si>
  <si>
    <t>0221500 Employee Benefits:Medicare Clerical</t>
  </si>
  <si>
    <t>0221608 Employee Benefits:Medicare Custodian</t>
  </si>
  <si>
    <t>0230100 Employee Benefits:PERA Contribution Admin</t>
  </si>
  <si>
    <t>0230101 Employee Benefits:PERA 9.5% AED</t>
  </si>
  <si>
    <t>0230200 Employee Benefits:PERA Contributions Teachers</t>
  </si>
  <si>
    <t>0230414 Employee Benefits:PERA Lunch Monitor</t>
  </si>
  <si>
    <t>0230415 Employee Benefits:PERA Contributions Teach Asst.</t>
  </si>
  <si>
    <t>0230500 Employee Benefits:PERA Contribution Clerical</t>
  </si>
  <si>
    <t>0230608 Employee Benefits:PERA Contribution Custodian</t>
  </si>
  <si>
    <t>0251100 Employee Benefits:Health Dental Vision Ins. Admin</t>
  </si>
  <si>
    <t>0251200 Employee Benefits:Health Dental Vision Ins. Teacher</t>
  </si>
  <si>
    <t>0251415 Employee Benefits:Health Dental Vision Ins Teach Asst.</t>
  </si>
  <si>
    <t>0251500 Employee Benefits:Health Dental Vision Ins. Clerical</t>
  </si>
  <si>
    <t>0290100 Employee Benefits:Bonus Administration</t>
  </si>
  <si>
    <t>0290200 Employee Benefits:Bonus Teacher</t>
  </si>
  <si>
    <t>0290414 Employee Benefits:Bonus Lunch Monitor</t>
  </si>
  <si>
    <t>0290415 Employee Benefits:Bonus Teacher Asst.</t>
  </si>
  <si>
    <t>0290500 Employee Benefits:Bonus Clerical</t>
  </si>
  <si>
    <t>0290608 Employee Benefits:Bonus Custodian</t>
  </si>
  <si>
    <t>0313000 Purchased Prof &amp; Tech Svs:Banking Service Fees</t>
  </si>
  <si>
    <t>0313003 Purchased Prof &amp; Tech Svs:Finance Charges</t>
  </si>
  <si>
    <t>0330001 Purchased Prof &amp; Tech Svs:Other Prof Svs Temp Support</t>
  </si>
  <si>
    <t>0331000 Purchased Prof &amp; Tech Svs:Legal Services</t>
  </si>
  <si>
    <t>0332000 Purchased Prof &amp; Tech Svs:Audit Services</t>
  </si>
  <si>
    <t>0335000 Purchased Prof &amp; Tech Svs:Nursing Services</t>
  </si>
  <si>
    <t>0339000 Purchased Prof &amp; Tech Svs:Background Checks</t>
  </si>
  <si>
    <t>0339001 Purchased Prof &amp; Tech Svs:Payroll Processing Fees</t>
  </si>
  <si>
    <t>0339002 Purchased Prof &amp; Tech Svs:IT Services</t>
  </si>
  <si>
    <t>0339006 Purchased Prof &amp; Tech Svs:Daycare Contract Labor</t>
  </si>
  <si>
    <t>0339010 Purchased Prof &amp; Tech Svs:Accounting Svs</t>
  </si>
  <si>
    <t>0339011 Purchased Prof &amp; Tech Svs:Bond Related Fees</t>
  </si>
  <si>
    <t>0350000 Purchased Prof &amp; Tech Svs:Staff Training &amp; Development</t>
  </si>
  <si>
    <t>0350003 Purchased Prof &amp; Tech Svs:Licenses</t>
  </si>
  <si>
    <t>0390000 Purchased Prof &amp; Tech Svs:D49 Buyback SIS Powerschool</t>
  </si>
  <si>
    <t>0390001 Purchased Prof &amp; Tech Svs:Buyback D49 Central Admin</t>
  </si>
  <si>
    <t>0411000 Purchased Property Svs:Water &amp; Sewer</t>
  </si>
  <si>
    <t>0421000 Purchased Property Svs:Trash Disposal</t>
  </si>
  <si>
    <t>0422000 Purchased Property Svs:Snow Removal</t>
  </si>
  <si>
    <t>0430000 Purchased Property Svs:Equipment Repairs</t>
  </si>
  <si>
    <t>0431000 Purchased Property Svs:Building Lease</t>
  </si>
  <si>
    <t>0432000 Purchased Property Svs:Copier Maintenance</t>
  </si>
  <si>
    <t>0442000 Purchased Property Svs:Rental Equipment Copier</t>
  </si>
  <si>
    <t>0442001 Purchased Property Svs:Equipment Rental Storage Unit</t>
  </si>
  <si>
    <t>0521000 Other Purchased Svs:Liability Insurance</t>
  </si>
  <si>
    <t>0525000 Other Purchased Svs:Colorado Unemployment</t>
  </si>
  <si>
    <t>0526000 Other Purchased Svs:Workers Comp Insurance</t>
  </si>
  <si>
    <t>0530000 Other Purchased Svs:Internet Access</t>
  </si>
  <si>
    <t>0530003 Other Purchased Svs:Misc Purchased Services</t>
  </si>
  <si>
    <t>0531000 Other Purchased Svs:Phone/Fax</t>
  </si>
  <si>
    <t>0533000 Other Purchased Svs:Postage</t>
  </si>
  <si>
    <t>0540000 Other Purchased Svs:Staff Recruitment</t>
  </si>
  <si>
    <t>0580000 Other Purchased Svs:Travel, Registration &amp; Entrance</t>
  </si>
  <si>
    <t>0585000 Other Purchased Svs:Staff/Student/Volunteer Support</t>
  </si>
  <si>
    <t>0594000 Other Purchased Svs:D49 Buyback SPED</t>
  </si>
  <si>
    <t>0594001 Other Purchased Svs:Purchased Transportation Svs D49</t>
  </si>
  <si>
    <t>0610000 Supplies:Supplies Classroom</t>
  </si>
  <si>
    <t>0610001 Supplies:Supplies Expedition</t>
  </si>
  <si>
    <t>0610003 Supplies:Supplies Office General</t>
  </si>
  <si>
    <t>0610005 Supplies:Supplies Classroom Library</t>
  </si>
  <si>
    <t>0610006 Supplies:Supplies Art</t>
  </si>
  <si>
    <t>0610007 Supplies:Supplies Music</t>
  </si>
  <si>
    <t>0610008 Supplies:PTO Expense</t>
  </si>
  <si>
    <t>0610010 Supplies:Printing &amp; Copy Supplies</t>
  </si>
  <si>
    <t>0610011 Supplies:Supplies Health</t>
  </si>
  <si>
    <t>0610015 Supplies:Supplies PE</t>
  </si>
  <si>
    <t>0612000 Supplies:Miscellaneous</t>
  </si>
  <si>
    <t>0614000 Supplies:Supplies Bldg &amp; Grounds</t>
  </si>
  <si>
    <t>0615000 Supplies:Supplies Bathroom</t>
  </si>
  <si>
    <t>0621000 Supplies:Natural Gas</t>
  </si>
  <si>
    <t>0622000 Supplies:Electricity</t>
  </si>
  <si>
    <t>0640004 Supplies:Textbooks &amp; Curriculum</t>
  </si>
  <si>
    <t>0650001 Supplies:Electronic Media Software</t>
  </si>
  <si>
    <t>0734000 Property:Tech Equipment</t>
  </si>
  <si>
    <t>0735000 Property:Non-Capital Equipment</t>
  </si>
  <si>
    <t>0810000 Other Objects:Dues &amp; Fees</t>
  </si>
  <si>
    <t>Tuesday, Aug 10, 2021 07:48:56 AM GMT-7 - Accrual Basis</t>
  </si>
  <si>
    <t>Current Assets</t>
  </si>
  <si>
    <t>Checking/Savings</t>
  </si>
  <si>
    <t>52-8111-002 Investment Accounts</t>
  </si>
  <si>
    <t>PPSEL Interest Series 2021</t>
  </si>
  <si>
    <t>PPSEL Principal Series 2021</t>
  </si>
  <si>
    <t>Total 52-8111-002 Investment Accounts</t>
  </si>
  <si>
    <t>Total Checking/Savings</t>
  </si>
  <si>
    <t>Total Current Assets</t>
  </si>
  <si>
    <t>Fixed Assets</t>
  </si>
  <si>
    <t>52-8231 Buildings &amp; Improvement</t>
  </si>
  <si>
    <t>Depreciated</t>
  </si>
  <si>
    <t>Antlers Ridge Drive Property</t>
  </si>
  <si>
    <t>Furniture &amp; Equipment</t>
  </si>
  <si>
    <t>Furniture &amp; Equipment Deprec.</t>
  </si>
  <si>
    <t>Land Improvement</t>
  </si>
  <si>
    <t>Property Accumulated Deprec</t>
  </si>
  <si>
    <t>Total Depreciated</t>
  </si>
  <si>
    <t>Not Depreciated</t>
  </si>
  <si>
    <t>Land - Antlers Ridge Drive</t>
  </si>
  <si>
    <t>Land - Water Rights</t>
  </si>
  <si>
    <t>Land Improvements</t>
  </si>
  <si>
    <t>Total Not Depreciated</t>
  </si>
  <si>
    <t>Total 52-8231 Buildings &amp; Improvement</t>
  </si>
  <si>
    <t>Total Fixed Assets</t>
  </si>
  <si>
    <t>Other Assets</t>
  </si>
  <si>
    <t>Accum Amortization of Loss</t>
  </si>
  <si>
    <t>Loss on Debt Refunding - Other</t>
  </si>
  <si>
    <t>Total Loss on Debt Refunding</t>
  </si>
  <si>
    <t>Total Other Assets</t>
  </si>
  <si>
    <t>LIABILITIES &amp; EQUITY</t>
  </si>
  <si>
    <t>Liabilities</t>
  </si>
  <si>
    <t>Long Term Liabilities</t>
  </si>
  <si>
    <t>Total Long Term Liabilities</t>
  </si>
  <si>
    <t>Total Liabilities</t>
  </si>
  <si>
    <t>Equity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</si>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</sst>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&quot;$&quot;* #,##0.00\ _€"/>
    <numFmt numFmtId="166" formatCode="#,##0.00;\-#,##0.00"/>
  </numFmts>
  <fonts count="8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Continuous"/>
    </xf>
    <xf numFmtId="49" fontId="0" fillId="0" borderId="4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6" fillId="0" borderId="0" xfId="0" applyNumberFormat="1" applyFont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7" fillId="0" borderId="0" xfId="0" applyNumberFormat="1" applyFont="1"/>
    <xf numFmtId="49" fontId="7" fillId="0" borderId="0" xfId="0" applyNumberFormat="1" applyFont="1"/>
    <xf numFmtId="166" fontId="6" fillId="0" borderId="6" xfId="0" applyNumberFormat="1" applyFont="1" applyBorder="1"/>
    <xf numFmtId="0" fontId="6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49" fontId="6" fillId="0" borderId="4" xfId="0" applyNumberFormat="1" applyFont="1" applyBorder="1" applyAlignment="1">
      <alignment horizontal="center"/>
    </xf>
    <xf numFmtId="166" fontId="7" fillId="0" borderId="7" xfId="0" applyNumberFormat="1" applyFont="1" applyBorder="1"/>
    <xf numFmtId="166" fontId="7" fillId="0" borderId="8" xfId="0" applyNumberFormat="1" applyFont="1" applyBorder="1"/>
    <xf numFmtId="166" fontId="7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6"/>
  <sheetViews>
    <sheetView workbookViewId="0">
      <selection sqref="A1:B1"/>
    </sheetView>
  </sheetViews>
  <sheetFormatPr defaultRowHeight="14.4" x14ac:dyDescent="0.3"/>
  <cols>
    <col min="1" max="1" width="43" customWidth="1"/>
    <col min="2" max="2" width="37.77734375" customWidth="1"/>
  </cols>
  <sheetData>
    <row r="1" spans="1:2" ht="17.399999999999999" x14ac:dyDescent="0.3">
      <c r="A1" s="10" t="s">
        <v>49</v>
      </c>
      <c r="B1" s="9"/>
    </row>
    <row r="2" spans="1:2" ht="17.399999999999999" x14ac:dyDescent="0.3">
      <c r="A2" s="10" t="s">
        <v>50</v>
      </c>
      <c r="B2" s="9"/>
    </row>
    <row r="3" spans="1:2" x14ac:dyDescent="0.3">
      <c r="A3" s="11" t="s">
        <v>51</v>
      </c>
      <c r="B3" s="9"/>
    </row>
    <row r="5" spans="1:2" x14ac:dyDescent="0.3">
      <c r="A5" s="1"/>
      <c r="B5" s="2" t="s">
        <v>0</v>
      </c>
    </row>
    <row r="6" spans="1:2" x14ac:dyDescent="0.3">
      <c r="A6" s="3" t="s">
        <v>1</v>
      </c>
      <c r="B6" s="4"/>
    </row>
    <row r="7" spans="1:2" x14ac:dyDescent="0.3">
      <c r="A7" s="3" t="s">
        <v>2</v>
      </c>
      <c r="B7" s="4"/>
    </row>
    <row r="8" spans="1:2" x14ac:dyDescent="0.3">
      <c r="A8" s="3" t="s">
        <v>3</v>
      </c>
      <c r="B8" s="4"/>
    </row>
    <row r="9" spans="1:2" x14ac:dyDescent="0.3">
      <c r="A9" s="3" t="s">
        <v>4</v>
      </c>
      <c r="B9" s="5">
        <f>2099817.09</f>
        <v>2099817.09</v>
      </c>
    </row>
    <row r="10" spans="1:2" x14ac:dyDescent="0.3">
      <c r="A10" s="3" t="s">
        <v>5</v>
      </c>
      <c r="B10" s="5">
        <f>2000</f>
        <v>2000</v>
      </c>
    </row>
    <row r="11" spans="1:2" x14ac:dyDescent="0.3">
      <c r="A11" s="3" t="s">
        <v>6</v>
      </c>
      <c r="B11" s="5">
        <f>577735.92</f>
        <v>577735.92000000004</v>
      </c>
    </row>
    <row r="12" spans="1:2" x14ac:dyDescent="0.3">
      <c r="A12" s="3" t="s">
        <v>7</v>
      </c>
      <c r="B12" s="5">
        <f>21752.52</f>
        <v>21752.52</v>
      </c>
    </row>
    <row r="13" spans="1:2" x14ac:dyDescent="0.3">
      <c r="A13" s="3" t="s">
        <v>8</v>
      </c>
      <c r="B13" s="5">
        <f>930337.61</f>
        <v>930337.61</v>
      </c>
    </row>
    <row r="14" spans="1:2" x14ac:dyDescent="0.3">
      <c r="A14" s="3" t="s">
        <v>9</v>
      </c>
      <c r="B14" s="6">
        <f>((((B9)+(B10))+(B11))+(B12))+(B13)</f>
        <v>3631643.1399999997</v>
      </c>
    </row>
    <row r="15" spans="1:2" x14ac:dyDescent="0.3">
      <c r="A15" s="3" t="s">
        <v>10</v>
      </c>
      <c r="B15" s="4"/>
    </row>
    <row r="16" spans="1:2" x14ac:dyDescent="0.3">
      <c r="A16" s="3" t="s">
        <v>11</v>
      </c>
      <c r="B16" s="5">
        <f>78590.18</f>
        <v>78590.179999999993</v>
      </c>
    </row>
    <row r="17" spans="1:2" x14ac:dyDescent="0.3">
      <c r="A17" s="3" t="s">
        <v>12</v>
      </c>
      <c r="B17" s="6">
        <f>B16</f>
        <v>78590.179999999993</v>
      </c>
    </row>
    <row r="18" spans="1:2" x14ac:dyDescent="0.3">
      <c r="A18" s="3" t="s">
        <v>13</v>
      </c>
      <c r="B18" s="4"/>
    </row>
    <row r="19" spans="1:2" x14ac:dyDescent="0.3">
      <c r="A19" s="3" t="s">
        <v>14</v>
      </c>
      <c r="B19" s="5">
        <f>6026.45</f>
        <v>6026.45</v>
      </c>
    </row>
    <row r="20" spans="1:2" x14ac:dyDescent="0.3">
      <c r="A20" s="3" t="s">
        <v>15</v>
      </c>
      <c r="B20" s="6">
        <f>B19</f>
        <v>6026.45</v>
      </c>
    </row>
    <row r="21" spans="1:2" x14ac:dyDescent="0.3">
      <c r="A21" s="3" t="s">
        <v>16</v>
      </c>
      <c r="B21" s="6">
        <f>((B14)+(B17))+(B20)</f>
        <v>3716259.77</v>
      </c>
    </row>
    <row r="22" spans="1:2" x14ac:dyDescent="0.3">
      <c r="A22" s="3" t="s">
        <v>17</v>
      </c>
      <c r="B22" s="7">
        <f>B21</f>
        <v>3716259.77</v>
      </c>
    </row>
    <row r="23" spans="1:2" x14ac:dyDescent="0.3">
      <c r="A23" s="3" t="s">
        <v>18</v>
      </c>
      <c r="B23" s="4"/>
    </row>
    <row r="24" spans="1:2" x14ac:dyDescent="0.3">
      <c r="A24" s="3" t="s">
        <v>19</v>
      </c>
      <c r="B24" s="4"/>
    </row>
    <row r="25" spans="1:2" x14ac:dyDescent="0.3">
      <c r="A25" s="3" t="s">
        <v>20</v>
      </c>
      <c r="B25" s="4"/>
    </row>
    <row r="26" spans="1:2" x14ac:dyDescent="0.3">
      <c r="A26" s="3" t="s">
        <v>21</v>
      </c>
      <c r="B26" s="4"/>
    </row>
    <row r="27" spans="1:2" x14ac:dyDescent="0.3">
      <c r="A27" s="3" t="s">
        <v>22</v>
      </c>
      <c r="B27" s="5">
        <f>7132.31</f>
        <v>7132.31</v>
      </c>
    </row>
    <row r="28" spans="1:2" x14ac:dyDescent="0.3">
      <c r="A28" s="3" t="s">
        <v>23</v>
      </c>
      <c r="B28" s="5">
        <f>102198.6</f>
        <v>102198.6</v>
      </c>
    </row>
    <row r="29" spans="1:2" x14ac:dyDescent="0.3">
      <c r="A29" s="3" t="s">
        <v>24</v>
      </c>
      <c r="B29" s="6">
        <f>(B27)+(B28)</f>
        <v>109330.91</v>
      </c>
    </row>
    <row r="30" spans="1:2" x14ac:dyDescent="0.3">
      <c r="A30" s="3" t="s">
        <v>25</v>
      </c>
      <c r="B30" s="4"/>
    </row>
    <row r="31" spans="1:2" x14ac:dyDescent="0.3">
      <c r="A31" s="3" t="s">
        <v>26</v>
      </c>
      <c r="B31" s="5">
        <f>0</f>
        <v>0</v>
      </c>
    </row>
    <row r="32" spans="1:2" x14ac:dyDescent="0.3">
      <c r="A32" s="3" t="s">
        <v>27</v>
      </c>
      <c r="B32" s="5">
        <f>174.33</f>
        <v>174.33</v>
      </c>
    </row>
    <row r="33" spans="1:2" x14ac:dyDescent="0.3">
      <c r="A33" s="3" t="s">
        <v>28</v>
      </c>
      <c r="B33" s="5">
        <f>14003.45</f>
        <v>14003.45</v>
      </c>
    </row>
    <row r="34" spans="1:2" x14ac:dyDescent="0.3">
      <c r="A34" s="3" t="s">
        <v>29</v>
      </c>
      <c r="B34" s="5">
        <f>1724.1</f>
        <v>1724.1</v>
      </c>
    </row>
    <row r="35" spans="1:2" x14ac:dyDescent="0.3">
      <c r="A35" s="3" t="s">
        <v>30</v>
      </c>
      <c r="B35" s="5">
        <f>39546.9</f>
        <v>39546.9</v>
      </c>
    </row>
    <row r="36" spans="1:2" x14ac:dyDescent="0.3">
      <c r="A36" s="3" t="s">
        <v>31</v>
      </c>
      <c r="B36" s="5">
        <f>105.6</f>
        <v>105.6</v>
      </c>
    </row>
    <row r="37" spans="1:2" x14ac:dyDescent="0.3">
      <c r="A37" s="3" t="s">
        <v>32</v>
      </c>
      <c r="B37" s="5">
        <f>56.1</f>
        <v>56.1</v>
      </c>
    </row>
    <row r="38" spans="1:2" x14ac:dyDescent="0.3">
      <c r="A38" s="3" t="s">
        <v>33</v>
      </c>
      <c r="B38" s="5">
        <f>4644</f>
        <v>4644</v>
      </c>
    </row>
    <row r="39" spans="1:2" x14ac:dyDescent="0.3">
      <c r="A39" s="3" t="s">
        <v>34</v>
      </c>
      <c r="B39" s="5">
        <f>8881</f>
        <v>8881</v>
      </c>
    </row>
    <row r="40" spans="1:2" x14ac:dyDescent="0.3">
      <c r="A40" s="3" t="s">
        <v>35</v>
      </c>
      <c r="B40" s="5">
        <f>1933.83</f>
        <v>1933.83</v>
      </c>
    </row>
    <row r="41" spans="1:2" x14ac:dyDescent="0.3">
      <c r="A41" s="3" t="s">
        <v>36</v>
      </c>
      <c r="B41" s="5">
        <f>1933.83</f>
        <v>1933.83</v>
      </c>
    </row>
    <row r="42" spans="1:2" x14ac:dyDescent="0.3">
      <c r="A42" s="3" t="s">
        <v>37</v>
      </c>
      <c r="B42" s="5">
        <f>27873.49</f>
        <v>27873.49</v>
      </c>
    </row>
    <row r="43" spans="1:2" x14ac:dyDescent="0.3">
      <c r="A43" s="3" t="s">
        <v>38</v>
      </c>
      <c r="B43" s="6">
        <f>(((((((((((B31)+(B32))+(B33))+(B34))+(B35))+(B36))+(B37))+(B38))+(B39))+(B40))+(B41))+(B42)</f>
        <v>100876.63</v>
      </c>
    </row>
    <row r="44" spans="1:2" x14ac:dyDescent="0.3">
      <c r="A44" s="3" t="s">
        <v>39</v>
      </c>
      <c r="B44" s="6">
        <f>B43</f>
        <v>100876.63</v>
      </c>
    </row>
    <row r="45" spans="1:2" x14ac:dyDescent="0.3">
      <c r="A45" s="3" t="s">
        <v>40</v>
      </c>
      <c r="B45" s="6">
        <f>(B29)+(B44)</f>
        <v>210207.54</v>
      </c>
    </row>
    <row r="46" spans="1:2" x14ac:dyDescent="0.3">
      <c r="A46" s="3" t="s">
        <v>41</v>
      </c>
      <c r="B46" s="6">
        <f>B45</f>
        <v>210207.54</v>
      </c>
    </row>
    <row r="47" spans="1:2" x14ac:dyDescent="0.3">
      <c r="A47" s="3" t="s">
        <v>42</v>
      </c>
      <c r="B47" s="4"/>
    </row>
    <row r="48" spans="1:2" x14ac:dyDescent="0.3">
      <c r="A48" s="3" t="s">
        <v>43</v>
      </c>
      <c r="B48" s="5">
        <f>99000</f>
        <v>99000</v>
      </c>
    </row>
    <row r="49" spans="1:2" x14ac:dyDescent="0.3">
      <c r="A49" s="3" t="s">
        <v>44</v>
      </c>
      <c r="B49" s="5">
        <f>2663211.32</f>
        <v>2663211.3199999998</v>
      </c>
    </row>
    <row r="50" spans="1:2" x14ac:dyDescent="0.3">
      <c r="A50" s="3" t="s">
        <v>45</v>
      </c>
      <c r="B50" s="5">
        <f>743840.91</f>
        <v>743840.91</v>
      </c>
    </row>
    <row r="51" spans="1:2" x14ac:dyDescent="0.3">
      <c r="A51" s="3" t="s">
        <v>46</v>
      </c>
      <c r="B51" s="6">
        <f>((B48)+(B49))+(B50)</f>
        <v>3506052.23</v>
      </c>
    </row>
    <row r="52" spans="1:2" x14ac:dyDescent="0.3">
      <c r="A52" s="3" t="s">
        <v>47</v>
      </c>
      <c r="B52" s="7">
        <f>(B46)+(B51)</f>
        <v>3716259.77</v>
      </c>
    </row>
    <row r="53" spans="1:2" x14ac:dyDescent="0.3">
      <c r="A53" s="3"/>
      <c r="B53" s="4"/>
    </row>
    <row r="56" spans="1:2" x14ac:dyDescent="0.3">
      <c r="A56" s="8" t="s">
        <v>48</v>
      </c>
      <c r="B56" s="9"/>
    </row>
  </sheetData>
  <mergeCells count="4">
    <mergeCell ref="A56:B56"/>
    <mergeCell ref="A1:B1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22B3-61DE-4E53-B25C-D15949FA9D44}">
  <dimension ref="A1:D171"/>
  <sheetViews>
    <sheetView workbookViewId="0">
      <selection sqref="A1:XFD1048576"/>
    </sheetView>
  </sheetViews>
  <sheetFormatPr defaultRowHeight="14.4" x14ac:dyDescent="0.3"/>
  <cols>
    <col min="1" max="1" width="43.77734375" customWidth="1"/>
    <col min="2" max="4" width="18.88671875" customWidth="1"/>
  </cols>
  <sheetData>
    <row r="1" spans="1:4" ht="17.399999999999999" x14ac:dyDescent="0.3">
      <c r="A1" s="10" t="s">
        <v>49</v>
      </c>
      <c r="B1" s="9"/>
      <c r="C1" s="9"/>
      <c r="D1" s="9"/>
    </row>
    <row r="2" spans="1:4" ht="17.399999999999999" x14ac:dyDescent="0.3">
      <c r="A2" s="10" t="s">
        <v>79</v>
      </c>
      <c r="B2" s="9"/>
      <c r="C2" s="9"/>
      <c r="D2" s="9"/>
    </row>
    <row r="3" spans="1:4" x14ac:dyDescent="0.3">
      <c r="A3" s="11" t="s">
        <v>80</v>
      </c>
      <c r="B3" s="9"/>
      <c r="C3" s="9"/>
      <c r="D3" s="9"/>
    </row>
    <row r="5" spans="1:4" x14ac:dyDescent="0.3">
      <c r="A5" s="1"/>
      <c r="B5" s="24" t="s">
        <v>0</v>
      </c>
      <c r="C5" s="25"/>
      <c r="D5" s="25"/>
    </row>
    <row r="6" spans="1:4" x14ac:dyDescent="0.3">
      <c r="A6" s="1"/>
      <c r="B6" s="2" t="s">
        <v>81</v>
      </c>
      <c r="C6" s="2" t="s">
        <v>82</v>
      </c>
      <c r="D6" s="2" t="s">
        <v>83</v>
      </c>
    </row>
    <row r="7" spans="1:4" x14ac:dyDescent="0.3">
      <c r="A7" s="3" t="s">
        <v>84</v>
      </c>
      <c r="B7" s="4"/>
      <c r="C7" s="4"/>
      <c r="D7" s="4"/>
    </row>
    <row r="8" spans="1:4" x14ac:dyDescent="0.3">
      <c r="A8" s="3" t="s">
        <v>85</v>
      </c>
      <c r="B8" s="4"/>
      <c r="C8" s="4"/>
      <c r="D8" s="5">
        <f t="shared" ref="D8:D42" si="0">(C8)-(B8)</f>
        <v>0</v>
      </c>
    </row>
    <row r="9" spans="1:4" x14ac:dyDescent="0.3">
      <c r="A9" s="3" t="s">
        <v>86</v>
      </c>
      <c r="B9" s="5">
        <f>943.37</f>
        <v>943.37</v>
      </c>
      <c r="C9" s="5">
        <f>3500</f>
        <v>3500</v>
      </c>
      <c r="D9" s="5">
        <f t="shared" si="0"/>
        <v>2556.63</v>
      </c>
    </row>
    <row r="10" spans="1:4" x14ac:dyDescent="0.3">
      <c r="A10" s="3" t="s">
        <v>87</v>
      </c>
      <c r="B10" s="5">
        <f>26886.99</f>
        <v>26886.99</v>
      </c>
      <c r="C10" s="5">
        <f>19000</f>
        <v>19000</v>
      </c>
      <c r="D10" s="5">
        <f t="shared" si="0"/>
        <v>-7886.9900000000016</v>
      </c>
    </row>
    <row r="11" spans="1:4" x14ac:dyDescent="0.3">
      <c r="A11" s="3" t="s">
        <v>88</v>
      </c>
      <c r="B11" s="5">
        <f>180</f>
        <v>180</v>
      </c>
      <c r="C11" s="5">
        <f>48000</f>
        <v>48000</v>
      </c>
      <c r="D11" s="5">
        <f t="shared" si="0"/>
        <v>47820</v>
      </c>
    </row>
    <row r="12" spans="1:4" x14ac:dyDescent="0.3">
      <c r="A12" s="3" t="s">
        <v>89</v>
      </c>
      <c r="B12" s="4"/>
      <c r="C12" s="5">
        <f>20000</f>
        <v>20000</v>
      </c>
      <c r="D12" s="5">
        <f t="shared" si="0"/>
        <v>20000</v>
      </c>
    </row>
    <row r="13" spans="1:4" x14ac:dyDescent="0.3">
      <c r="A13" s="3" t="s">
        <v>90</v>
      </c>
      <c r="B13" s="5">
        <f>1511.55</f>
        <v>1511.55</v>
      </c>
      <c r="C13" s="4"/>
      <c r="D13" s="5">
        <f t="shared" si="0"/>
        <v>-1511.55</v>
      </c>
    </row>
    <row r="14" spans="1:4" x14ac:dyDescent="0.3">
      <c r="A14" s="3" t="s">
        <v>91</v>
      </c>
      <c r="B14" s="5">
        <f>93.9</f>
        <v>93.9</v>
      </c>
      <c r="C14" s="4"/>
      <c r="D14" s="5">
        <f t="shared" si="0"/>
        <v>-93.9</v>
      </c>
    </row>
    <row r="15" spans="1:4" x14ac:dyDescent="0.3">
      <c r="A15" s="3" t="s">
        <v>92</v>
      </c>
      <c r="B15" s="5">
        <f>1565.66</f>
        <v>1565.66</v>
      </c>
      <c r="C15" s="4"/>
      <c r="D15" s="5">
        <f t="shared" si="0"/>
        <v>-1565.66</v>
      </c>
    </row>
    <row r="16" spans="1:4" x14ac:dyDescent="0.3">
      <c r="A16" s="3" t="s">
        <v>93</v>
      </c>
      <c r="B16" s="5">
        <f>26925.16</f>
        <v>26925.16</v>
      </c>
      <c r="C16" s="4"/>
      <c r="D16" s="5">
        <f t="shared" si="0"/>
        <v>-26925.16</v>
      </c>
    </row>
    <row r="17" spans="1:4" x14ac:dyDescent="0.3">
      <c r="A17" s="3" t="s">
        <v>94</v>
      </c>
      <c r="B17" s="5">
        <f>960</f>
        <v>960</v>
      </c>
      <c r="C17" s="4"/>
      <c r="D17" s="5">
        <f t="shared" si="0"/>
        <v>-960</v>
      </c>
    </row>
    <row r="18" spans="1:4" x14ac:dyDescent="0.3">
      <c r="A18" s="3" t="s">
        <v>95</v>
      </c>
      <c r="B18" s="5">
        <f>747.7</f>
        <v>747.7</v>
      </c>
      <c r="C18" s="5">
        <f>14000</f>
        <v>14000</v>
      </c>
      <c r="D18" s="5">
        <f t="shared" si="0"/>
        <v>13252.3</v>
      </c>
    </row>
    <row r="19" spans="1:4" x14ac:dyDescent="0.3">
      <c r="A19" s="3" t="s">
        <v>96</v>
      </c>
      <c r="B19" s="5">
        <f>416795.41</f>
        <v>416795.41</v>
      </c>
      <c r="C19" s="4"/>
      <c r="D19" s="5">
        <f t="shared" si="0"/>
        <v>-416795.41</v>
      </c>
    </row>
    <row r="20" spans="1:4" x14ac:dyDescent="0.3">
      <c r="A20" s="3" t="s">
        <v>97</v>
      </c>
      <c r="B20" s="5">
        <f>1000</f>
        <v>1000</v>
      </c>
      <c r="C20" s="4"/>
      <c r="D20" s="5">
        <f t="shared" si="0"/>
        <v>-1000</v>
      </c>
    </row>
    <row r="21" spans="1:4" x14ac:dyDescent="0.3">
      <c r="A21" s="3" t="s">
        <v>98</v>
      </c>
      <c r="B21" s="5">
        <f>117350.2</f>
        <v>117350.2</v>
      </c>
      <c r="C21" s="5">
        <f>76000</f>
        <v>76000</v>
      </c>
      <c r="D21" s="5">
        <f t="shared" si="0"/>
        <v>-41350.199999999997</v>
      </c>
    </row>
    <row r="22" spans="1:4" x14ac:dyDescent="0.3">
      <c r="A22" s="3" t="s">
        <v>99</v>
      </c>
      <c r="B22" s="7">
        <f>(((((((((((((B8)+(B9))+(B10))+(B11))+(B12))+(B13))+(B14))+(B15))+(B16))+(B17))+(B18))+(B19))+(B20))+(B21)</f>
        <v>594959.93999999994</v>
      </c>
      <c r="C22" s="7">
        <f>(((((((((((((C8)+(C9))+(C10))+(C11))+(C12))+(C13))+(C14))+(C15))+(C16))+(C17))+(C18))+(C19))+(C20))+(C21)</f>
        <v>180500</v>
      </c>
      <c r="D22" s="7">
        <f t="shared" si="0"/>
        <v>-414459.93999999994</v>
      </c>
    </row>
    <row r="23" spans="1:4" x14ac:dyDescent="0.3">
      <c r="A23" s="3" t="s">
        <v>100</v>
      </c>
      <c r="B23" s="4"/>
      <c r="C23" s="4"/>
      <c r="D23" s="5">
        <f t="shared" si="0"/>
        <v>0</v>
      </c>
    </row>
    <row r="24" spans="1:4" x14ac:dyDescent="0.3">
      <c r="A24" s="3" t="s">
        <v>101</v>
      </c>
      <c r="B24" s="5">
        <f>900</f>
        <v>900</v>
      </c>
      <c r="C24" s="4"/>
      <c r="D24" s="5">
        <f t="shared" si="0"/>
        <v>-900</v>
      </c>
    </row>
    <row r="25" spans="1:4" x14ac:dyDescent="0.3">
      <c r="A25" s="3" t="s">
        <v>102</v>
      </c>
      <c r="B25" s="5">
        <f>7277.58</f>
        <v>7277.58</v>
      </c>
      <c r="C25" s="5">
        <f>12000</f>
        <v>12000</v>
      </c>
      <c r="D25" s="5">
        <f t="shared" si="0"/>
        <v>4722.42</v>
      </c>
    </row>
    <row r="26" spans="1:4" x14ac:dyDescent="0.3">
      <c r="A26" s="3" t="s">
        <v>103</v>
      </c>
      <c r="B26" s="5">
        <f>130404.27</f>
        <v>130404.27</v>
      </c>
      <c r="C26" s="5">
        <f>100000</f>
        <v>100000</v>
      </c>
      <c r="D26" s="5">
        <f t="shared" si="0"/>
        <v>-30404.270000000004</v>
      </c>
    </row>
    <row r="27" spans="1:4" x14ac:dyDescent="0.3">
      <c r="A27" s="3" t="s">
        <v>104</v>
      </c>
      <c r="B27" s="5">
        <f>5500</f>
        <v>5500</v>
      </c>
      <c r="C27" s="4"/>
      <c r="D27" s="5">
        <f t="shared" si="0"/>
        <v>-5500</v>
      </c>
    </row>
    <row r="28" spans="1:4" x14ac:dyDescent="0.3">
      <c r="A28" s="3" t="s">
        <v>105</v>
      </c>
      <c r="B28" s="5">
        <f>1221.77</f>
        <v>1221.77</v>
      </c>
      <c r="C28" s="4"/>
      <c r="D28" s="5">
        <f t="shared" si="0"/>
        <v>-1221.77</v>
      </c>
    </row>
    <row r="29" spans="1:4" x14ac:dyDescent="0.3">
      <c r="A29" s="3" t="s">
        <v>106</v>
      </c>
      <c r="B29" s="5">
        <f>540.24</f>
        <v>540.24</v>
      </c>
      <c r="C29" s="4"/>
      <c r="D29" s="5">
        <f t="shared" si="0"/>
        <v>-540.24</v>
      </c>
    </row>
    <row r="30" spans="1:4" x14ac:dyDescent="0.3">
      <c r="A30" s="3" t="s">
        <v>107</v>
      </c>
      <c r="B30" s="5">
        <f>270</f>
        <v>270</v>
      </c>
      <c r="C30" s="4"/>
      <c r="D30" s="5">
        <f t="shared" si="0"/>
        <v>-270</v>
      </c>
    </row>
    <row r="31" spans="1:4" x14ac:dyDescent="0.3">
      <c r="A31" s="3" t="s">
        <v>108</v>
      </c>
      <c r="B31" s="7">
        <f>(((((((B23)+(B24))+(B25))+(B26))+(B27))+(B28))+(B29))+(B30)</f>
        <v>146113.85999999999</v>
      </c>
      <c r="C31" s="7">
        <f>(((((((C23)+(C24))+(C25))+(C26))+(C27))+(C28))+(C29))+(C30)</f>
        <v>112000</v>
      </c>
      <c r="D31" s="7">
        <f t="shared" si="0"/>
        <v>-34113.859999999986</v>
      </c>
    </row>
    <row r="32" spans="1:4" x14ac:dyDescent="0.3">
      <c r="A32" s="3" t="s">
        <v>109</v>
      </c>
      <c r="B32" s="4"/>
      <c r="C32" s="4"/>
      <c r="D32" s="5">
        <f t="shared" si="0"/>
        <v>0</v>
      </c>
    </row>
    <row r="33" spans="1:4" x14ac:dyDescent="0.3">
      <c r="A33" s="3" t="s">
        <v>110</v>
      </c>
      <c r="B33" s="5">
        <f>22592.97</f>
        <v>22592.97</v>
      </c>
      <c r="C33" s="4"/>
      <c r="D33" s="5">
        <f t="shared" si="0"/>
        <v>-22592.97</v>
      </c>
    </row>
    <row r="34" spans="1:4" x14ac:dyDescent="0.3">
      <c r="A34" s="3" t="s">
        <v>111</v>
      </c>
      <c r="B34" s="5">
        <f>64886.29</f>
        <v>64886.29</v>
      </c>
      <c r="C34" s="4"/>
      <c r="D34" s="5">
        <f t="shared" si="0"/>
        <v>-64886.29</v>
      </c>
    </row>
    <row r="35" spans="1:4" x14ac:dyDescent="0.3">
      <c r="A35" s="3" t="s">
        <v>112</v>
      </c>
      <c r="B35" s="5">
        <f>9706.01</f>
        <v>9706.01</v>
      </c>
      <c r="C35" s="4"/>
      <c r="D35" s="5">
        <f t="shared" si="0"/>
        <v>-9706.01</v>
      </c>
    </row>
    <row r="36" spans="1:4" x14ac:dyDescent="0.3">
      <c r="A36" s="3" t="s">
        <v>113</v>
      </c>
      <c r="B36" s="5">
        <f>215473.94</f>
        <v>215473.94</v>
      </c>
      <c r="C36" s="4"/>
      <c r="D36" s="5">
        <f t="shared" si="0"/>
        <v>-215473.94</v>
      </c>
    </row>
    <row r="37" spans="1:4" x14ac:dyDescent="0.3">
      <c r="A37" s="3" t="s">
        <v>114</v>
      </c>
      <c r="B37" s="7">
        <f>((((B32)+(B33))+(B34))+(B35))+(B36)</f>
        <v>312659.21000000002</v>
      </c>
      <c r="C37" s="7">
        <f>((((C32)+(C33))+(C34))+(C35))+(C36)</f>
        <v>0</v>
      </c>
      <c r="D37" s="7">
        <f t="shared" si="0"/>
        <v>-312659.21000000002</v>
      </c>
    </row>
    <row r="38" spans="1:4" x14ac:dyDescent="0.3">
      <c r="A38" s="3" t="s">
        <v>115</v>
      </c>
      <c r="B38" s="4"/>
      <c r="C38" s="4"/>
      <c r="D38" s="5">
        <f t="shared" si="0"/>
        <v>0</v>
      </c>
    </row>
    <row r="39" spans="1:4" x14ac:dyDescent="0.3">
      <c r="A39" s="3" t="s">
        <v>116</v>
      </c>
      <c r="B39" s="5">
        <f>3380376.08</f>
        <v>3380376.08</v>
      </c>
      <c r="C39" s="5">
        <f>3134502.7</f>
        <v>3134502.7</v>
      </c>
      <c r="D39" s="5">
        <f t="shared" si="0"/>
        <v>-245873.37999999989</v>
      </c>
    </row>
    <row r="40" spans="1:4" x14ac:dyDescent="0.3">
      <c r="A40" s="3" t="s">
        <v>117</v>
      </c>
      <c r="B40" s="7">
        <f>(B38)+(B39)</f>
        <v>3380376.08</v>
      </c>
      <c r="C40" s="7">
        <f>(C38)+(C39)</f>
        <v>3134502.7</v>
      </c>
      <c r="D40" s="7">
        <f t="shared" si="0"/>
        <v>-245873.37999999989</v>
      </c>
    </row>
    <row r="41" spans="1:4" x14ac:dyDescent="0.3">
      <c r="A41" s="3" t="s">
        <v>118</v>
      </c>
      <c r="B41" s="7">
        <f>(((B22)+(B31))+(B37))+(B40)</f>
        <v>4434109.09</v>
      </c>
      <c r="C41" s="7">
        <f>(((C22)+(C31))+(C37))+(C40)</f>
        <v>3427002.7</v>
      </c>
      <c r="D41" s="7">
        <f t="shared" si="0"/>
        <v>-1007106.3899999997</v>
      </c>
    </row>
    <row r="42" spans="1:4" x14ac:dyDescent="0.3">
      <c r="A42" s="3" t="s">
        <v>119</v>
      </c>
      <c r="B42" s="7">
        <f>(B41)-(0)</f>
        <v>4434109.09</v>
      </c>
      <c r="C42" s="7">
        <f>(C41)-(0)</f>
        <v>3427002.7</v>
      </c>
      <c r="D42" s="7">
        <f t="shared" si="0"/>
        <v>-1007106.3899999997</v>
      </c>
    </row>
    <row r="43" spans="1:4" x14ac:dyDescent="0.3">
      <c r="A43" s="3" t="s">
        <v>120</v>
      </c>
      <c r="B43" s="4"/>
      <c r="C43" s="4"/>
      <c r="D43" s="4"/>
    </row>
    <row r="44" spans="1:4" x14ac:dyDescent="0.3">
      <c r="A44" s="3" t="s">
        <v>121</v>
      </c>
      <c r="B44" s="4"/>
      <c r="C44" s="4"/>
      <c r="D44" s="5">
        <f t="shared" ref="D44:D107" si="1">(C44)-(B44)</f>
        <v>0</v>
      </c>
    </row>
    <row r="45" spans="1:4" x14ac:dyDescent="0.3">
      <c r="A45" s="3" t="s">
        <v>122</v>
      </c>
      <c r="B45" s="5">
        <f>232589.04</f>
        <v>232589.04</v>
      </c>
      <c r="C45" s="5">
        <f>234000</f>
        <v>234000</v>
      </c>
      <c r="D45" s="5">
        <f t="shared" si="1"/>
        <v>1410.9599999999919</v>
      </c>
    </row>
    <row r="46" spans="1:4" x14ac:dyDescent="0.3">
      <c r="A46" s="3" t="s">
        <v>123</v>
      </c>
      <c r="B46" s="5">
        <f>1134847.2</f>
        <v>1134847.2</v>
      </c>
      <c r="C46" s="5">
        <f>1202000</f>
        <v>1202000</v>
      </c>
      <c r="D46" s="5">
        <f t="shared" si="1"/>
        <v>67152.800000000047</v>
      </c>
    </row>
    <row r="47" spans="1:4" x14ac:dyDescent="0.3">
      <c r="A47" s="3" t="s">
        <v>124</v>
      </c>
      <c r="B47" s="5">
        <f>30521.56</f>
        <v>30521.56</v>
      </c>
      <c r="C47" s="5">
        <f>24000</f>
        <v>24000</v>
      </c>
      <c r="D47" s="5">
        <f t="shared" si="1"/>
        <v>-6521.5600000000013</v>
      </c>
    </row>
    <row r="48" spans="1:4" x14ac:dyDescent="0.3">
      <c r="A48" s="3" t="s">
        <v>125</v>
      </c>
      <c r="B48" s="5">
        <f>160013.55</f>
        <v>160013.54999999999</v>
      </c>
      <c r="C48" s="4"/>
      <c r="D48" s="5">
        <f t="shared" si="1"/>
        <v>-160013.54999999999</v>
      </c>
    </row>
    <row r="49" spans="1:4" x14ac:dyDescent="0.3">
      <c r="A49" s="3" t="s">
        <v>126</v>
      </c>
      <c r="B49" s="5">
        <f>58599.82</f>
        <v>58599.82</v>
      </c>
      <c r="C49" s="5">
        <f>62000</f>
        <v>62000</v>
      </c>
      <c r="D49" s="5">
        <f t="shared" si="1"/>
        <v>3400.1800000000003</v>
      </c>
    </row>
    <row r="50" spans="1:4" x14ac:dyDescent="0.3">
      <c r="A50" s="3" t="s">
        <v>127</v>
      </c>
      <c r="B50" s="5">
        <f>27095.04</f>
        <v>27095.040000000001</v>
      </c>
      <c r="C50" s="5">
        <f>28280</f>
        <v>28280</v>
      </c>
      <c r="D50" s="5">
        <f t="shared" si="1"/>
        <v>1184.9599999999991</v>
      </c>
    </row>
    <row r="51" spans="1:4" x14ac:dyDescent="0.3">
      <c r="A51" s="3" t="s">
        <v>128</v>
      </c>
      <c r="B51" s="7">
        <f>((((((B44)+(B45))+(B46))+(B47))+(B48))+(B49))+(B50)</f>
        <v>1643666.2100000002</v>
      </c>
      <c r="C51" s="7">
        <f>((((((C44)+(C45))+(C46))+(C47))+(C48))+(C49))+(C50)</f>
        <v>1550280</v>
      </c>
      <c r="D51" s="7">
        <f t="shared" si="1"/>
        <v>-93386.210000000196</v>
      </c>
    </row>
    <row r="52" spans="1:4" x14ac:dyDescent="0.3">
      <c r="A52" s="3" t="s">
        <v>129</v>
      </c>
      <c r="B52" s="4"/>
      <c r="C52" s="4"/>
      <c r="D52" s="5">
        <f t="shared" si="1"/>
        <v>0</v>
      </c>
    </row>
    <row r="53" spans="1:4" x14ac:dyDescent="0.3">
      <c r="A53" s="3" t="s">
        <v>130</v>
      </c>
      <c r="B53" s="5">
        <f>591.3</f>
        <v>591.29999999999995</v>
      </c>
      <c r="C53" s="4"/>
      <c r="D53" s="5">
        <f t="shared" si="1"/>
        <v>-591.29999999999995</v>
      </c>
    </row>
    <row r="54" spans="1:4" x14ac:dyDescent="0.3">
      <c r="A54" s="3" t="s">
        <v>131</v>
      </c>
      <c r="B54" s="5">
        <f>1570.71</f>
        <v>1570.71</v>
      </c>
      <c r="C54" s="5">
        <f>10000</f>
        <v>10000</v>
      </c>
      <c r="D54" s="5">
        <f t="shared" si="1"/>
        <v>8429.2900000000009</v>
      </c>
    </row>
    <row r="55" spans="1:4" x14ac:dyDescent="0.3">
      <c r="A55" s="3" t="s">
        <v>132</v>
      </c>
      <c r="B55" s="5">
        <f>6.6</f>
        <v>6.6</v>
      </c>
      <c r="C55" s="4"/>
      <c r="D55" s="5">
        <f t="shared" si="1"/>
        <v>-6.6</v>
      </c>
    </row>
    <row r="56" spans="1:4" x14ac:dyDescent="0.3">
      <c r="A56" s="3" t="s">
        <v>133</v>
      </c>
      <c r="B56" s="5">
        <f>116.12</f>
        <v>116.12</v>
      </c>
      <c r="C56" s="4"/>
      <c r="D56" s="5">
        <f t="shared" si="1"/>
        <v>-116.12</v>
      </c>
    </row>
    <row r="57" spans="1:4" x14ac:dyDescent="0.3">
      <c r="A57" s="3" t="s">
        <v>134</v>
      </c>
      <c r="B57" s="5">
        <f>80.01</f>
        <v>80.010000000000005</v>
      </c>
      <c r="C57" s="4"/>
      <c r="D57" s="5">
        <f t="shared" si="1"/>
        <v>-80.010000000000005</v>
      </c>
    </row>
    <row r="58" spans="1:4" x14ac:dyDescent="0.3">
      <c r="A58" s="3" t="s">
        <v>135</v>
      </c>
      <c r="B58" s="5">
        <f>53.53</f>
        <v>53.53</v>
      </c>
      <c r="C58" s="4"/>
      <c r="D58" s="5">
        <f t="shared" si="1"/>
        <v>-53.53</v>
      </c>
    </row>
    <row r="59" spans="1:4" x14ac:dyDescent="0.3">
      <c r="A59" s="3" t="s">
        <v>136</v>
      </c>
      <c r="B59" s="5">
        <f>3342.15</f>
        <v>3342.15</v>
      </c>
      <c r="C59" s="4"/>
      <c r="D59" s="5">
        <f t="shared" si="1"/>
        <v>-3342.15</v>
      </c>
    </row>
    <row r="60" spans="1:4" x14ac:dyDescent="0.3">
      <c r="A60" s="3" t="s">
        <v>137</v>
      </c>
      <c r="B60" s="5">
        <f>17595.35</f>
        <v>17595.349999999999</v>
      </c>
      <c r="C60" s="5">
        <f>24500</f>
        <v>24500</v>
      </c>
      <c r="D60" s="5">
        <f t="shared" si="1"/>
        <v>6904.6500000000015</v>
      </c>
    </row>
    <row r="61" spans="1:4" x14ac:dyDescent="0.3">
      <c r="A61" s="3" t="s">
        <v>138</v>
      </c>
      <c r="B61" s="5">
        <f>2088.73</f>
        <v>2088.73</v>
      </c>
      <c r="C61" s="4"/>
      <c r="D61" s="5">
        <f t="shared" si="1"/>
        <v>-2088.73</v>
      </c>
    </row>
    <row r="62" spans="1:4" x14ac:dyDescent="0.3">
      <c r="A62" s="3" t="s">
        <v>139</v>
      </c>
      <c r="B62" s="5">
        <f>444.23</f>
        <v>444.23</v>
      </c>
      <c r="C62" s="5">
        <f>260</f>
        <v>260</v>
      </c>
      <c r="D62" s="5">
        <f t="shared" si="1"/>
        <v>-184.23000000000002</v>
      </c>
    </row>
    <row r="63" spans="1:4" x14ac:dyDescent="0.3">
      <c r="A63" s="3" t="s">
        <v>140</v>
      </c>
      <c r="B63" s="5">
        <f>889.08</f>
        <v>889.08</v>
      </c>
      <c r="C63" s="4"/>
      <c r="D63" s="5">
        <f t="shared" si="1"/>
        <v>-889.08</v>
      </c>
    </row>
    <row r="64" spans="1:4" x14ac:dyDescent="0.3">
      <c r="A64" s="3" t="s">
        <v>141</v>
      </c>
      <c r="B64" s="5">
        <f>411.66</f>
        <v>411.66</v>
      </c>
      <c r="C64" s="5">
        <f>370</f>
        <v>370</v>
      </c>
      <c r="D64" s="5">
        <f t="shared" si="1"/>
        <v>-41.660000000000025</v>
      </c>
    </row>
    <row r="65" spans="1:4" x14ac:dyDescent="0.3">
      <c r="A65" s="3" t="s">
        <v>142</v>
      </c>
      <c r="B65" s="5">
        <f>60695.94</f>
        <v>60695.94</v>
      </c>
      <c r="C65" s="5">
        <f>25000</f>
        <v>25000</v>
      </c>
      <c r="D65" s="5">
        <f t="shared" si="1"/>
        <v>-35695.94</v>
      </c>
    </row>
    <row r="66" spans="1:4" x14ac:dyDescent="0.3">
      <c r="A66" s="3" t="s">
        <v>143</v>
      </c>
      <c r="B66" s="5">
        <f>29080.39</f>
        <v>29080.39</v>
      </c>
      <c r="C66" s="4"/>
      <c r="D66" s="5">
        <f t="shared" si="1"/>
        <v>-29080.39</v>
      </c>
    </row>
    <row r="67" spans="1:4" x14ac:dyDescent="0.3">
      <c r="A67" s="3" t="s">
        <v>144</v>
      </c>
      <c r="B67" s="5">
        <f>190413.85</f>
        <v>190413.85</v>
      </c>
      <c r="C67" s="5">
        <f>309250</f>
        <v>309250</v>
      </c>
      <c r="D67" s="5">
        <f t="shared" si="1"/>
        <v>118836.15</v>
      </c>
    </row>
    <row r="68" spans="1:4" x14ac:dyDescent="0.3">
      <c r="A68" s="3" t="s">
        <v>145</v>
      </c>
      <c r="B68" s="5">
        <f>5851.52</f>
        <v>5851.52</v>
      </c>
      <c r="C68" s="5">
        <f>1900</f>
        <v>1900</v>
      </c>
      <c r="D68" s="5">
        <f t="shared" si="1"/>
        <v>-3951.5200000000004</v>
      </c>
    </row>
    <row r="69" spans="1:4" x14ac:dyDescent="0.3">
      <c r="A69" s="3" t="s">
        <v>146</v>
      </c>
      <c r="B69" s="5">
        <f>23524.6</f>
        <v>23524.6</v>
      </c>
      <c r="C69" s="4"/>
      <c r="D69" s="5">
        <f t="shared" si="1"/>
        <v>-23524.6</v>
      </c>
    </row>
    <row r="70" spans="1:4" x14ac:dyDescent="0.3">
      <c r="A70" s="3" t="s">
        <v>147</v>
      </c>
      <c r="B70" s="5">
        <f>9303.02</f>
        <v>9303.02</v>
      </c>
      <c r="C70" s="5">
        <f>7000</f>
        <v>7000</v>
      </c>
      <c r="D70" s="5">
        <f t="shared" si="1"/>
        <v>-2303.0200000000004</v>
      </c>
    </row>
    <row r="71" spans="1:4" x14ac:dyDescent="0.3">
      <c r="A71" s="3" t="s">
        <v>148</v>
      </c>
      <c r="B71" s="5">
        <f>4925.93</f>
        <v>4925.93</v>
      </c>
      <c r="C71" s="5">
        <f>3500</f>
        <v>3500</v>
      </c>
      <c r="D71" s="5">
        <f t="shared" si="1"/>
        <v>-1425.9300000000003</v>
      </c>
    </row>
    <row r="72" spans="1:4" x14ac:dyDescent="0.3">
      <c r="A72" s="3" t="s">
        <v>149</v>
      </c>
      <c r="B72" s="5">
        <f>17009.82</f>
        <v>17009.82</v>
      </c>
      <c r="C72" s="5">
        <f>31000</f>
        <v>31000</v>
      </c>
      <c r="D72" s="5">
        <f t="shared" si="1"/>
        <v>13990.18</v>
      </c>
    </row>
    <row r="73" spans="1:4" x14ac:dyDescent="0.3">
      <c r="A73" s="3" t="s">
        <v>150</v>
      </c>
      <c r="B73" s="5">
        <f>139978.3</f>
        <v>139978.29999999999</v>
      </c>
      <c r="C73" s="5">
        <f>156000</f>
        <v>156000</v>
      </c>
      <c r="D73" s="5">
        <f t="shared" si="1"/>
        <v>16021.700000000012</v>
      </c>
    </row>
    <row r="74" spans="1:4" x14ac:dyDescent="0.3">
      <c r="A74" s="3" t="s">
        <v>151</v>
      </c>
      <c r="B74" s="5">
        <f>7372.2</f>
        <v>7372.2</v>
      </c>
      <c r="C74" s="4"/>
      <c r="D74" s="5">
        <f t="shared" si="1"/>
        <v>-7372.2</v>
      </c>
    </row>
    <row r="75" spans="1:4" x14ac:dyDescent="0.3">
      <c r="A75" s="3" t="s">
        <v>152</v>
      </c>
      <c r="B75" s="5">
        <f>2534.16</f>
        <v>2534.16</v>
      </c>
      <c r="C75" s="4"/>
      <c r="D75" s="5">
        <f t="shared" si="1"/>
        <v>-2534.16</v>
      </c>
    </row>
    <row r="76" spans="1:4" x14ac:dyDescent="0.3">
      <c r="A76" s="3" t="s">
        <v>153</v>
      </c>
      <c r="B76" s="5">
        <f>10800</f>
        <v>10800</v>
      </c>
      <c r="C76" s="5">
        <f>12000</f>
        <v>12000</v>
      </c>
      <c r="D76" s="5">
        <f t="shared" si="1"/>
        <v>1200</v>
      </c>
    </row>
    <row r="77" spans="1:4" x14ac:dyDescent="0.3">
      <c r="A77" s="3" t="s">
        <v>154</v>
      </c>
      <c r="B77" s="5">
        <f>87600</f>
        <v>87600</v>
      </c>
      <c r="C77" s="5">
        <f>47500</f>
        <v>47500</v>
      </c>
      <c r="D77" s="5">
        <f t="shared" si="1"/>
        <v>-40100</v>
      </c>
    </row>
    <row r="78" spans="1:4" x14ac:dyDescent="0.3">
      <c r="A78" s="3" t="s">
        <v>155</v>
      </c>
      <c r="B78" s="5">
        <f>600</f>
        <v>600</v>
      </c>
      <c r="C78" s="4"/>
      <c r="D78" s="5">
        <f t="shared" si="1"/>
        <v>-600</v>
      </c>
    </row>
    <row r="79" spans="1:4" x14ac:dyDescent="0.3">
      <c r="A79" s="3" t="s">
        <v>156</v>
      </c>
      <c r="B79" s="5">
        <f>6800</f>
        <v>6800</v>
      </c>
      <c r="C79" s="4"/>
      <c r="D79" s="5">
        <f t="shared" si="1"/>
        <v>-6800</v>
      </c>
    </row>
    <row r="80" spans="1:4" x14ac:dyDescent="0.3">
      <c r="A80" s="3" t="s">
        <v>157</v>
      </c>
      <c r="B80" s="5">
        <f>8600</f>
        <v>8600</v>
      </c>
      <c r="C80" s="5">
        <f>4000</f>
        <v>4000</v>
      </c>
      <c r="D80" s="5">
        <f t="shared" si="1"/>
        <v>-4600</v>
      </c>
    </row>
    <row r="81" spans="1:4" x14ac:dyDescent="0.3">
      <c r="A81" s="3" t="s">
        <v>158</v>
      </c>
      <c r="B81" s="5">
        <f>1300</f>
        <v>1300</v>
      </c>
      <c r="C81" s="4"/>
      <c r="D81" s="5">
        <f t="shared" si="1"/>
        <v>-1300</v>
      </c>
    </row>
    <row r="82" spans="1:4" x14ac:dyDescent="0.3">
      <c r="A82" s="3" t="s">
        <v>159</v>
      </c>
      <c r="B82" s="7">
        <f>(((((((((((((((((((((((((((((B52)+(B53))+(B54))+(B55))+(B56))+(B57))+(B58))+(B59))+(B60))+(B61))+(B62))+(B63))+(B64))+(B65))+(B66))+(B67))+(B68))+(B69))+(B70))+(B71))+(B72))+(B73))+(B74))+(B75))+(B76))+(B77))+(B78))+(B79))+(B80))+(B81)</f>
        <v>633579.19999999995</v>
      </c>
      <c r="C82" s="7">
        <f>(((((((((((((((((((((((((((((C52)+(C53))+(C54))+(C55))+(C56))+(C57))+(C58))+(C59))+(C60))+(C61))+(C62))+(C63))+(C64))+(C65))+(C66))+(C67))+(C68))+(C69))+(C70))+(C71))+(C72))+(C73))+(C74))+(C75))+(C76))+(C77))+(C78))+(C79))+(C80))+(C81)</f>
        <v>632280</v>
      </c>
      <c r="D82" s="7">
        <f t="shared" si="1"/>
        <v>-1299.1999999999534</v>
      </c>
    </row>
    <row r="83" spans="1:4" x14ac:dyDescent="0.3">
      <c r="A83" s="3" t="s">
        <v>160</v>
      </c>
      <c r="B83" s="4"/>
      <c r="C83" s="4"/>
      <c r="D83" s="5">
        <f t="shared" si="1"/>
        <v>0</v>
      </c>
    </row>
    <row r="84" spans="1:4" x14ac:dyDescent="0.3">
      <c r="A84" s="3" t="s">
        <v>161</v>
      </c>
      <c r="B84" s="4"/>
      <c r="C84" s="5">
        <f>20000</f>
        <v>20000</v>
      </c>
      <c r="D84" s="5">
        <f t="shared" si="1"/>
        <v>20000</v>
      </c>
    </row>
    <row r="85" spans="1:4" x14ac:dyDescent="0.3">
      <c r="A85" s="3" t="s">
        <v>162</v>
      </c>
      <c r="B85" s="5">
        <f>72.05</f>
        <v>72.05</v>
      </c>
      <c r="C85" s="4"/>
      <c r="D85" s="5">
        <f t="shared" si="1"/>
        <v>-72.05</v>
      </c>
    </row>
    <row r="86" spans="1:4" x14ac:dyDescent="0.3">
      <c r="A86" s="3" t="s">
        <v>163</v>
      </c>
      <c r="B86" s="4"/>
      <c r="C86" s="5">
        <f>300</f>
        <v>300</v>
      </c>
      <c r="D86" s="5">
        <f t="shared" si="1"/>
        <v>300</v>
      </c>
    </row>
    <row r="87" spans="1:4" x14ac:dyDescent="0.3">
      <c r="A87" s="3" t="s">
        <v>164</v>
      </c>
      <c r="B87" s="5">
        <f>10907.54</f>
        <v>10907.54</v>
      </c>
      <c r="C87" s="5">
        <f>1000</f>
        <v>1000</v>
      </c>
      <c r="D87" s="5">
        <f t="shared" si="1"/>
        <v>-9907.5400000000009</v>
      </c>
    </row>
    <row r="88" spans="1:4" x14ac:dyDescent="0.3">
      <c r="A88" s="3" t="s">
        <v>165</v>
      </c>
      <c r="B88" s="5">
        <f>17935.93</f>
        <v>17935.93</v>
      </c>
      <c r="C88" s="5">
        <f>37000</f>
        <v>37000</v>
      </c>
      <c r="D88" s="5">
        <f t="shared" si="1"/>
        <v>19064.07</v>
      </c>
    </row>
    <row r="89" spans="1:4" x14ac:dyDescent="0.3">
      <c r="A89" s="3" t="s">
        <v>166</v>
      </c>
      <c r="B89" s="5">
        <f>1037</f>
        <v>1037</v>
      </c>
      <c r="C89" s="5">
        <f>7000</f>
        <v>7000</v>
      </c>
      <c r="D89" s="5">
        <f t="shared" si="1"/>
        <v>5963</v>
      </c>
    </row>
    <row r="90" spans="1:4" x14ac:dyDescent="0.3">
      <c r="A90" s="3" t="s">
        <v>167</v>
      </c>
      <c r="B90" s="5">
        <f>9000</f>
        <v>9000</v>
      </c>
      <c r="C90" s="5">
        <f>9000</f>
        <v>9000</v>
      </c>
      <c r="D90" s="5">
        <f t="shared" si="1"/>
        <v>0</v>
      </c>
    </row>
    <row r="91" spans="1:4" x14ac:dyDescent="0.3">
      <c r="A91" s="3" t="s">
        <v>168</v>
      </c>
      <c r="B91" s="5">
        <f>1500</f>
        <v>1500</v>
      </c>
      <c r="C91" s="5">
        <f>1500</f>
        <v>1500</v>
      </c>
      <c r="D91" s="5">
        <f t="shared" si="1"/>
        <v>0</v>
      </c>
    </row>
    <row r="92" spans="1:4" x14ac:dyDescent="0.3">
      <c r="A92" s="3" t="s">
        <v>169</v>
      </c>
      <c r="B92" s="5">
        <f>473.6</f>
        <v>473.6</v>
      </c>
      <c r="C92" s="5">
        <f>4000</f>
        <v>4000</v>
      </c>
      <c r="D92" s="5">
        <f t="shared" si="1"/>
        <v>3526.4</v>
      </c>
    </row>
    <row r="93" spans="1:4" x14ac:dyDescent="0.3">
      <c r="A93" s="3" t="s">
        <v>170</v>
      </c>
      <c r="B93" s="5">
        <f>1686.25</f>
        <v>1686.25</v>
      </c>
      <c r="C93" s="5">
        <f>1300</f>
        <v>1300</v>
      </c>
      <c r="D93" s="5">
        <f t="shared" si="1"/>
        <v>-386.25</v>
      </c>
    </row>
    <row r="94" spans="1:4" x14ac:dyDescent="0.3">
      <c r="A94" s="3" t="s">
        <v>171</v>
      </c>
      <c r="B94" s="5">
        <f>25864.95</f>
        <v>25864.95</v>
      </c>
      <c r="C94" s="4"/>
      <c r="D94" s="5">
        <f t="shared" si="1"/>
        <v>-25864.95</v>
      </c>
    </row>
    <row r="95" spans="1:4" x14ac:dyDescent="0.3">
      <c r="A95" s="3" t="s">
        <v>172</v>
      </c>
      <c r="B95" s="5">
        <f>960</f>
        <v>960</v>
      </c>
      <c r="C95" s="5">
        <f>2100</f>
        <v>2100</v>
      </c>
      <c r="D95" s="5">
        <f t="shared" si="1"/>
        <v>1140</v>
      </c>
    </row>
    <row r="96" spans="1:4" x14ac:dyDescent="0.3">
      <c r="A96" s="3" t="s">
        <v>173</v>
      </c>
      <c r="B96" s="5">
        <f>12749.52</f>
        <v>12749.52</v>
      </c>
      <c r="C96" s="5">
        <f>22000</f>
        <v>22000</v>
      </c>
      <c r="D96" s="5">
        <f t="shared" si="1"/>
        <v>9250.48</v>
      </c>
    </row>
    <row r="97" spans="1:4" x14ac:dyDescent="0.3">
      <c r="A97" s="3" t="s">
        <v>174</v>
      </c>
      <c r="B97" s="5">
        <f>12375.4</f>
        <v>12375.4</v>
      </c>
      <c r="C97" s="5">
        <f>7250</f>
        <v>7250</v>
      </c>
      <c r="D97" s="5">
        <f t="shared" si="1"/>
        <v>-5125.3999999999996</v>
      </c>
    </row>
    <row r="98" spans="1:4" x14ac:dyDescent="0.3">
      <c r="A98" s="3" t="s">
        <v>175</v>
      </c>
      <c r="B98" s="5">
        <f>1726.99</f>
        <v>1726.99</v>
      </c>
      <c r="C98" s="5">
        <f>47000</f>
        <v>47000</v>
      </c>
      <c r="D98" s="5">
        <f t="shared" si="1"/>
        <v>45273.01</v>
      </c>
    </row>
    <row r="99" spans="1:4" x14ac:dyDescent="0.3">
      <c r="A99" s="3" t="s">
        <v>176</v>
      </c>
      <c r="B99" s="5">
        <f>469</f>
        <v>469</v>
      </c>
      <c r="C99" s="5">
        <f>1400</f>
        <v>1400</v>
      </c>
      <c r="D99" s="5">
        <f t="shared" si="1"/>
        <v>931</v>
      </c>
    </row>
    <row r="100" spans="1:4" x14ac:dyDescent="0.3">
      <c r="A100" s="3" t="s">
        <v>177</v>
      </c>
      <c r="B100" s="5">
        <f>6633.09</f>
        <v>6633.09</v>
      </c>
      <c r="C100" s="5">
        <f>6000</f>
        <v>6000</v>
      </c>
      <c r="D100" s="5">
        <f t="shared" si="1"/>
        <v>-633.09000000000015</v>
      </c>
    </row>
    <row r="101" spans="1:4" x14ac:dyDescent="0.3">
      <c r="A101" s="3" t="s">
        <v>178</v>
      </c>
      <c r="B101" s="5">
        <f>105161.38</f>
        <v>105161.38</v>
      </c>
      <c r="C101" s="5">
        <f>95000</f>
        <v>95000</v>
      </c>
      <c r="D101" s="5">
        <f t="shared" si="1"/>
        <v>-10161.380000000005</v>
      </c>
    </row>
    <row r="102" spans="1:4" x14ac:dyDescent="0.3">
      <c r="A102" s="3" t="s">
        <v>179</v>
      </c>
      <c r="B102" s="7">
        <f>((((((((((((((((((B83)+(B84))+(B85))+(B86))+(B87))+(B88))+(B89))+(B90))+(B91))+(B92))+(B93))+(B94))+(B95))+(B96))+(B97))+(B98))+(B99))+(B100))+(B101)</f>
        <v>208552.7</v>
      </c>
      <c r="C102" s="7">
        <f>((((((((((((((((((C83)+(C84))+(C85))+(C86))+(C87))+(C88))+(C89))+(C90))+(C91))+(C92))+(C93))+(C94))+(C95))+(C96))+(C97))+(C98))+(C99))+(C100))+(C101)</f>
        <v>261850</v>
      </c>
      <c r="D102" s="7">
        <f t="shared" si="1"/>
        <v>53297.299999999988</v>
      </c>
    </row>
    <row r="103" spans="1:4" x14ac:dyDescent="0.3">
      <c r="A103" s="3" t="s">
        <v>180</v>
      </c>
      <c r="B103" s="4"/>
      <c r="C103" s="4"/>
      <c r="D103" s="5">
        <f t="shared" si="1"/>
        <v>0</v>
      </c>
    </row>
    <row r="104" spans="1:4" x14ac:dyDescent="0.3">
      <c r="A104" s="3" t="s">
        <v>181</v>
      </c>
      <c r="B104" s="5">
        <f>16755.28</f>
        <v>16755.28</v>
      </c>
      <c r="C104" s="5">
        <f>52000</f>
        <v>52000</v>
      </c>
      <c r="D104" s="5">
        <f t="shared" si="1"/>
        <v>35244.720000000001</v>
      </c>
    </row>
    <row r="105" spans="1:4" x14ac:dyDescent="0.3">
      <c r="A105" s="3" t="s">
        <v>182</v>
      </c>
      <c r="B105" s="5">
        <f>8799.99</f>
        <v>8799.99</v>
      </c>
      <c r="C105" s="5">
        <f>50000</f>
        <v>50000</v>
      </c>
      <c r="D105" s="5">
        <f t="shared" si="1"/>
        <v>41200.01</v>
      </c>
    </row>
    <row r="106" spans="1:4" x14ac:dyDescent="0.3">
      <c r="A106" s="3" t="s">
        <v>183</v>
      </c>
      <c r="B106" s="5">
        <f>9630</f>
        <v>9630</v>
      </c>
      <c r="C106" s="4"/>
      <c r="D106" s="5">
        <f t="shared" si="1"/>
        <v>-9630</v>
      </c>
    </row>
    <row r="107" spans="1:4" x14ac:dyDescent="0.3">
      <c r="A107" s="3" t="s">
        <v>184</v>
      </c>
      <c r="B107" s="5">
        <f>12677.06</f>
        <v>12677.06</v>
      </c>
      <c r="C107" s="4"/>
      <c r="D107" s="5">
        <f t="shared" si="1"/>
        <v>-12677.06</v>
      </c>
    </row>
    <row r="108" spans="1:4" x14ac:dyDescent="0.3">
      <c r="A108" s="3" t="s">
        <v>185</v>
      </c>
      <c r="B108" s="5">
        <f>344413.56</f>
        <v>344413.56</v>
      </c>
      <c r="C108" s="5">
        <f>376000</f>
        <v>376000</v>
      </c>
      <c r="D108" s="5">
        <f t="shared" ref="D108:D162" si="2">(C108)-(B108)</f>
        <v>31586.440000000002</v>
      </c>
    </row>
    <row r="109" spans="1:4" x14ac:dyDescent="0.3">
      <c r="A109" s="3" t="s">
        <v>186</v>
      </c>
      <c r="B109" s="5">
        <f>4701.57</f>
        <v>4701.57</v>
      </c>
      <c r="C109" s="5">
        <f>15000</f>
        <v>15000</v>
      </c>
      <c r="D109" s="5">
        <f t="shared" si="2"/>
        <v>10298.43</v>
      </c>
    </row>
    <row r="110" spans="1:4" x14ac:dyDescent="0.3">
      <c r="A110" s="3" t="s">
        <v>187</v>
      </c>
      <c r="B110" s="5">
        <f>13477.77</f>
        <v>13477.77</v>
      </c>
      <c r="C110" s="5">
        <f>12000</f>
        <v>12000</v>
      </c>
      <c r="D110" s="5">
        <f t="shared" si="2"/>
        <v>-1477.7700000000004</v>
      </c>
    </row>
    <row r="111" spans="1:4" x14ac:dyDescent="0.3">
      <c r="A111" s="3" t="s">
        <v>188</v>
      </c>
      <c r="B111" s="5">
        <f>55.65</f>
        <v>55.65</v>
      </c>
      <c r="C111" s="4"/>
      <c r="D111" s="5">
        <f t="shared" si="2"/>
        <v>-55.65</v>
      </c>
    </row>
    <row r="112" spans="1:4" x14ac:dyDescent="0.3">
      <c r="A112" s="3" t="s">
        <v>189</v>
      </c>
      <c r="B112" s="7">
        <f>((((((((B103)+(B104))+(B105))+(B106))+(B107))+(B108))+(B109))+(B110))+(B111)</f>
        <v>410510.88000000006</v>
      </c>
      <c r="C112" s="7">
        <f>((((((((C103)+(C104))+(C105))+(C106))+(C107))+(C108))+(C109))+(C110))+(C111)</f>
        <v>505000</v>
      </c>
      <c r="D112" s="7">
        <f t="shared" si="2"/>
        <v>94489.119999999937</v>
      </c>
    </row>
    <row r="113" spans="1:4" x14ac:dyDescent="0.3">
      <c r="A113" s="3" t="s">
        <v>190</v>
      </c>
      <c r="B113" s="4"/>
      <c r="C113" s="4"/>
      <c r="D113" s="5">
        <f t="shared" si="2"/>
        <v>0</v>
      </c>
    </row>
    <row r="114" spans="1:4" x14ac:dyDescent="0.3">
      <c r="A114" s="3" t="s">
        <v>191</v>
      </c>
      <c r="B114" s="4"/>
      <c r="C114" s="5">
        <f>33000</f>
        <v>33000</v>
      </c>
      <c r="D114" s="5">
        <f t="shared" si="2"/>
        <v>33000</v>
      </c>
    </row>
    <row r="115" spans="1:4" x14ac:dyDescent="0.3">
      <c r="A115" s="3" t="s">
        <v>192</v>
      </c>
      <c r="B115" s="5">
        <f>6662.04</f>
        <v>6662.04</v>
      </c>
      <c r="C115" s="5">
        <f>23000</f>
        <v>23000</v>
      </c>
      <c r="D115" s="5">
        <f t="shared" si="2"/>
        <v>16337.96</v>
      </c>
    </row>
    <row r="116" spans="1:4" x14ac:dyDescent="0.3">
      <c r="A116" s="3" t="s">
        <v>193</v>
      </c>
      <c r="B116" s="5">
        <f>4904.51</f>
        <v>4904.51</v>
      </c>
      <c r="C116" s="5">
        <f>5200</f>
        <v>5200</v>
      </c>
      <c r="D116" s="5">
        <f t="shared" si="2"/>
        <v>295.48999999999978</v>
      </c>
    </row>
    <row r="117" spans="1:4" x14ac:dyDescent="0.3">
      <c r="A117" s="3" t="s">
        <v>194</v>
      </c>
      <c r="B117" s="5">
        <f>30935</f>
        <v>30935</v>
      </c>
      <c r="C117" s="5">
        <f>17000</f>
        <v>17000</v>
      </c>
      <c r="D117" s="5">
        <f t="shared" si="2"/>
        <v>-13935</v>
      </c>
    </row>
    <row r="118" spans="1:4" x14ac:dyDescent="0.3">
      <c r="A118" s="3" t="s">
        <v>195</v>
      </c>
      <c r="B118" s="5">
        <f>19080</f>
        <v>19080</v>
      </c>
      <c r="C118" s="5">
        <f>300</f>
        <v>300</v>
      </c>
      <c r="D118" s="5">
        <f t="shared" si="2"/>
        <v>-18780</v>
      </c>
    </row>
    <row r="119" spans="1:4" x14ac:dyDescent="0.3">
      <c r="A119" s="3" t="s">
        <v>196</v>
      </c>
      <c r="B119" s="5">
        <f>8276.56</f>
        <v>8276.56</v>
      </c>
      <c r="C119" s="4"/>
      <c r="D119" s="5">
        <f t="shared" si="2"/>
        <v>-8276.56</v>
      </c>
    </row>
    <row r="120" spans="1:4" x14ac:dyDescent="0.3">
      <c r="A120" s="3" t="s">
        <v>197</v>
      </c>
      <c r="B120" s="5">
        <f>6359.7</f>
        <v>6359.7</v>
      </c>
      <c r="C120" s="5">
        <f>18000</f>
        <v>18000</v>
      </c>
      <c r="D120" s="5">
        <f t="shared" si="2"/>
        <v>11640.3</v>
      </c>
    </row>
    <row r="121" spans="1:4" x14ac:dyDescent="0.3">
      <c r="A121" s="3" t="s">
        <v>198</v>
      </c>
      <c r="B121" s="5">
        <f>758.47</f>
        <v>758.47</v>
      </c>
      <c r="C121" s="5">
        <f>1000</f>
        <v>1000</v>
      </c>
      <c r="D121" s="5">
        <f t="shared" si="2"/>
        <v>241.52999999999997</v>
      </c>
    </row>
    <row r="122" spans="1:4" x14ac:dyDescent="0.3">
      <c r="A122" s="3" t="s">
        <v>199</v>
      </c>
      <c r="B122" s="5">
        <f>7214.64</f>
        <v>7214.64</v>
      </c>
      <c r="C122" s="5">
        <f>7000</f>
        <v>7000</v>
      </c>
      <c r="D122" s="5">
        <f t="shared" si="2"/>
        <v>-214.64000000000033</v>
      </c>
    </row>
    <row r="123" spans="1:4" x14ac:dyDescent="0.3">
      <c r="A123" s="3" t="s">
        <v>200</v>
      </c>
      <c r="B123" s="4"/>
      <c r="C123" s="5">
        <f>6000</f>
        <v>6000</v>
      </c>
      <c r="D123" s="5">
        <f t="shared" si="2"/>
        <v>6000</v>
      </c>
    </row>
    <row r="124" spans="1:4" x14ac:dyDescent="0.3">
      <c r="A124" s="3" t="s">
        <v>201</v>
      </c>
      <c r="B124" s="5">
        <f>8452.98</f>
        <v>8452.98</v>
      </c>
      <c r="C124" s="5">
        <f>18000</f>
        <v>18000</v>
      </c>
      <c r="D124" s="5">
        <f t="shared" si="2"/>
        <v>9547.02</v>
      </c>
    </row>
    <row r="125" spans="1:4" x14ac:dyDescent="0.3">
      <c r="A125" s="3" t="s">
        <v>202</v>
      </c>
      <c r="B125" s="4"/>
      <c r="C125" s="5">
        <f>2000</f>
        <v>2000</v>
      </c>
      <c r="D125" s="5">
        <f t="shared" si="2"/>
        <v>2000</v>
      </c>
    </row>
    <row r="126" spans="1:4" x14ac:dyDescent="0.3">
      <c r="A126" s="3" t="s">
        <v>203</v>
      </c>
      <c r="B126" s="5">
        <f>10675.69</f>
        <v>10675.69</v>
      </c>
      <c r="C126" s="5">
        <f>12000</f>
        <v>12000</v>
      </c>
      <c r="D126" s="5">
        <f t="shared" si="2"/>
        <v>1324.3099999999995</v>
      </c>
    </row>
    <row r="127" spans="1:4" x14ac:dyDescent="0.3">
      <c r="A127" s="3" t="s">
        <v>204</v>
      </c>
      <c r="B127" s="5">
        <f>393110.18</f>
        <v>393110.18</v>
      </c>
      <c r="C127" s="5">
        <f>357000</f>
        <v>357000</v>
      </c>
      <c r="D127" s="5">
        <f t="shared" si="2"/>
        <v>-36110.179999999993</v>
      </c>
    </row>
    <row r="128" spans="1:4" x14ac:dyDescent="0.3">
      <c r="A128" s="3" t="s">
        <v>205</v>
      </c>
      <c r="B128" s="5">
        <f>2025</f>
        <v>2025</v>
      </c>
      <c r="C128" s="4"/>
      <c r="D128" s="5">
        <f t="shared" si="2"/>
        <v>-2025</v>
      </c>
    </row>
    <row r="129" spans="1:4" x14ac:dyDescent="0.3">
      <c r="A129" s="3" t="s">
        <v>206</v>
      </c>
      <c r="B129" s="7">
        <f>(((((((((((((((B113)+(B114))+(B115))+(B116))+(B117))+(B118))+(B119))+(B120))+(B121))+(B122))+(B123))+(B124))+(B125))+(B126))+(B127))+(B128)</f>
        <v>498454.77</v>
      </c>
      <c r="C129" s="7">
        <f>(((((((((((((((C113)+(C114))+(C115))+(C116))+(C117))+(C118))+(C119))+(C120))+(C121))+(C122))+(C123))+(C124))+(C125))+(C126))+(C127))+(C128)</f>
        <v>499500</v>
      </c>
      <c r="D129" s="7">
        <f t="shared" si="2"/>
        <v>1045.2299999999814</v>
      </c>
    </row>
    <row r="130" spans="1:4" x14ac:dyDescent="0.3">
      <c r="A130" s="3" t="s">
        <v>207</v>
      </c>
      <c r="B130" s="4"/>
      <c r="C130" s="4"/>
      <c r="D130" s="5">
        <f t="shared" si="2"/>
        <v>0</v>
      </c>
    </row>
    <row r="131" spans="1:4" x14ac:dyDescent="0.3">
      <c r="A131" s="3" t="s">
        <v>208</v>
      </c>
      <c r="B131" s="5">
        <f>22895.02</f>
        <v>22895.02</v>
      </c>
      <c r="C131" s="4"/>
      <c r="D131" s="5">
        <f t="shared" si="2"/>
        <v>-22895.02</v>
      </c>
    </row>
    <row r="132" spans="1:4" x14ac:dyDescent="0.3">
      <c r="A132" s="3" t="s">
        <v>209</v>
      </c>
      <c r="B132" s="5">
        <f>1400.83</f>
        <v>1400.83</v>
      </c>
      <c r="C132" s="5">
        <f>18800</f>
        <v>18800</v>
      </c>
      <c r="D132" s="5">
        <f t="shared" si="2"/>
        <v>17399.169999999998</v>
      </c>
    </row>
    <row r="133" spans="1:4" x14ac:dyDescent="0.3">
      <c r="A133" s="3" t="s">
        <v>210</v>
      </c>
      <c r="B133" s="5">
        <f>7003.02</f>
        <v>7003.02</v>
      </c>
      <c r="C133" s="5">
        <f>17000</f>
        <v>17000</v>
      </c>
      <c r="D133" s="5">
        <f t="shared" si="2"/>
        <v>9996.98</v>
      </c>
    </row>
    <row r="134" spans="1:4" x14ac:dyDescent="0.3">
      <c r="A134" s="3" t="s">
        <v>211</v>
      </c>
      <c r="B134" s="4"/>
      <c r="C134" s="5">
        <f>800</f>
        <v>800</v>
      </c>
      <c r="D134" s="5">
        <f t="shared" si="2"/>
        <v>800</v>
      </c>
    </row>
    <row r="135" spans="1:4" x14ac:dyDescent="0.3">
      <c r="A135" s="3" t="s">
        <v>212</v>
      </c>
      <c r="B135" s="5">
        <f>236.12</f>
        <v>236.12</v>
      </c>
      <c r="C135" s="5">
        <f>1000</f>
        <v>1000</v>
      </c>
      <c r="D135" s="5">
        <f t="shared" si="2"/>
        <v>763.88</v>
      </c>
    </row>
    <row r="136" spans="1:4" x14ac:dyDescent="0.3">
      <c r="A136" s="3" t="s">
        <v>213</v>
      </c>
      <c r="B136" s="5">
        <f>503.13</f>
        <v>503.13</v>
      </c>
      <c r="C136" s="5">
        <f>1000</f>
        <v>1000</v>
      </c>
      <c r="D136" s="5">
        <f t="shared" si="2"/>
        <v>496.87</v>
      </c>
    </row>
    <row r="137" spans="1:4" x14ac:dyDescent="0.3">
      <c r="A137" s="3" t="s">
        <v>214</v>
      </c>
      <c r="B137" s="5">
        <f>184</f>
        <v>184</v>
      </c>
      <c r="C137" s="5">
        <f>1000</f>
        <v>1000</v>
      </c>
      <c r="D137" s="5">
        <f t="shared" si="2"/>
        <v>816</v>
      </c>
    </row>
    <row r="138" spans="1:4" x14ac:dyDescent="0.3">
      <c r="A138" s="3" t="s">
        <v>215</v>
      </c>
      <c r="B138" s="5">
        <f>5752.21</f>
        <v>5752.21</v>
      </c>
      <c r="C138" s="5">
        <f>20000</f>
        <v>20000</v>
      </c>
      <c r="D138" s="5">
        <f t="shared" si="2"/>
        <v>14247.79</v>
      </c>
    </row>
    <row r="139" spans="1:4" x14ac:dyDescent="0.3">
      <c r="A139" s="3" t="s">
        <v>216</v>
      </c>
      <c r="B139" s="4"/>
      <c r="C139" s="5">
        <f>300</f>
        <v>300</v>
      </c>
      <c r="D139" s="5">
        <f t="shared" si="2"/>
        <v>300</v>
      </c>
    </row>
    <row r="140" spans="1:4" x14ac:dyDescent="0.3">
      <c r="A140" s="3" t="s">
        <v>217</v>
      </c>
      <c r="B140" s="5">
        <f>3000.95</f>
        <v>3000.95</v>
      </c>
      <c r="C140" s="5">
        <f>10000</f>
        <v>10000</v>
      </c>
      <c r="D140" s="5">
        <f t="shared" si="2"/>
        <v>6999.05</v>
      </c>
    </row>
    <row r="141" spans="1:4" x14ac:dyDescent="0.3">
      <c r="A141" s="3" t="s">
        <v>218</v>
      </c>
      <c r="B141" s="5">
        <f>16993.37</f>
        <v>16993.37</v>
      </c>
      <c r="C141" s="5">
        <f>600</f>
        <v>600</v>
      </c>
      <c r="D141" s="5">
        <f t="shared" si="2"/>
        <v>-16393.37</v>
      </c>
    </row>
    <row r="142" spans="1:4" x14ac:dyDescent="0.3">
      <c r="A142" s="3" t="s">
        <v>219</v>
      </c>
      <c r="B142" s="5">
        <f>14.06</f>
        <v>14.06</v>
      </c>
      <c r="C142" s="5">
        <f>1000</f>
        <v>1000</v>
      </c>
      <c r="D142" s="5">
        <f t="shared" si="2"/>
        <v>985.94</v>
      </c>
    </row>
    <row r="143" spans="1:4" x14ac:dyDescent="0.3">
      <c r="A143" s="3" t="s">
        <v>220</v>
      </c>
      <c r="B143" s="5">
        <f>763.09</f>
        <v>763.09</v>
      </c>
      <c r="C143" s="5">
        <f>1000</f>
        <v>1000</v>
      </c>
      <c r="D143" s="5">
        <f t="shared" si="2"/>
        <v>236.90999999999997</v>
      </c>
    </row>
    <row r="144" spans="1:4" x14ac:dyDescent="0.3">
      <c r="A144" s="3" t="s">
        <v>221</v>
      </c>
      <c r="B144" s="5">
        <f>11603.72</f>
        <v>11603.72</v>
      </c>
      <c r="C144" s="5">
        <f>16000</f>
        <v>16000</v>
      </c>
      <c r="D144" s="5">
        <f t="shared" si="2"/>
        <v>4396.2800000000007</v>
      </c>
    </row>
    <row r="145" spans="1:4" x14ac:dyDescent="0.3">
      <c r="A145" s="3" t="s">
        <v>222</v>
      </c>
      <c r="B145" s="5">
        <f>7801.05</f>
        <v>7801.05</v>
      </c>
      <c r="C145" s="4"/>
      <c r="D145" s="5">
        <f t="shared" si="2"/>
        <v>-7801.05</v>
      </c>
    </row>
    <row r="146" spans="1:4" x14ac:dyDescent="0.3">
      <c r="A146" s="3" t="s">
        <v>223</v>
      </c>
      <c r="B146" s="5">
        <f>5033.33</f>
        <v>5033.33</v>
      </c>
      <c r="C146" s="4"/>
      <c r="D146" s="5">
        <f t="shared" si="2"/>
        <v>-5033.33</v>
      </c>
    </row>
    <row r="147" spans="1:4" x14ac:dyDescent="0.3">
      <c r="A147" s="3" t="s">
        <v>224</v>
      </c>
      <c r="B147" s="5">
        <f>16652</f>
        <v>16652</v>
      </c>
      <c r="C147" s="4"/>
      <c r="D147" s="5">
        <f t="shared" si="2"/>
        <v>-16652</v>
      </c>
    </row>
    <row r="148" spans="1:4" x14ac:dyDescent="0.3">
      <c r="A148" s="3" t="s">
        <v>225</v>
      </c>
      <c r="B148" s="5">
        <f>54570.12</f>
        <v>54570.12</v>
      </c>
      <c r="C148" s="5">
        <f>1500</f>
        <v>1500</v>
      </c>
      <c r="D148" s="5">
        <f t="shared" si="2"/>
        <v>-53070.12</v>
      </c>
    </row>
    <row r="149" spans="1:4" x14ac:dyDescent="0.3">
      <c r="A149" s="3" t="s">
        <v>226</v>
      </c>
      <c r="B149" s="5">
        <f>5497.64</f>
        <v>5497.64</v>
      </c>
      <c r="C149" s="5">
        <f>5000</f>
        <v>5000</v>
      </c>
      <c r="D149" s="5">
        <f t="shared" si="2"/>
        <v>-497.64000000000033</v>
      </c>
    </row>
    <row r="150" spans="1:4" x14ac:dyDescent="0.3">
      <c r="A150" s="3" t="s">
        <v>227</v>
      </c>
      <c r="B150" s="4"/>
      <c r="C150" s="5">
        <f>20000</f>
        <v>20000</v>
      </c>
      <c r="D150" s="5">
        <f t="shared" si="2"/>
        <v>20000</v>
      </c>
    </row>
    <row r="151" spans="1:4" x14ac:dyDescent="0.3">
      <c r="A151" s="3" t="s">
        <v>228</v>
      </c>
      <c r="B151" s="4"/>
      <c r="C151" s="5">
        <f>5000</f>
        <v>5000</v>
      </c>
      <c r="D151" s="5">
        <f t="shared" si="2"/>
        <v>5000</v>
      </c>
    </row>
    <row r="152" spans="1:4" x14ac:dyDescent="0.3">
      <c r="A152" s="3" t="s">
        <v>229</v>
      </c>
      <c r="B152" s="7">
        <f>(((((((((((((((((((((B130)+(B131))+(B132))+(B133))+(B134))+(B135))+(B136))+(B137))+(B138))+(B139))+(B140))+(B141))+(B142))+(B143))+(B144))+(B145))+(B146))+(B147))+(B148))+(B149))+(B150))+(B151)</f>
        <v>159903.66</v>
      </c>
      <c r="C152" s="7">
        <f>(((((((((((((((((((((C130)+(C131))+(C132))+(C133))+(C134))+(C135))+(C136))+(C137))+(C138))+(C139))+(C140))+(C141))+(C142))+(C143))+(C144))+(C145))+(C146))+(C147))+(C148))+(C149))+(C150))+(C151)</f>
        <v>120000</v>
      </c>
      <c r="D152" s="7">
        <f t="shared" si="2"/>
        <v>-39903.660000000003</v>
      </c>
    </row>
    <row r="153" spans="1:4" x14ac:dyDescent="0.3">
      <c r="A153" s="3" t="s">
        <v>230</v>
      </c>
      <c r="B153" s="4"/>
      <c r="C153" s="4"/>
      <c r="D153" s="5">
        <f t="shared" si="2"/>
        <v>0</v>
      </c>
    </row>
    <row r="154" spans="1:4" x14ac:dyDescent="0.3">
      <c r="A154" s="3" t="s">
        <v>231</v>
      </c>
      <c r="B154" s="5">
        <f>96572.21</f>
        <v>96572.21</v>
      </c>
      <c r="C154" s="5">
        <f>52000</f>
        <v>52000</v>
      </c>
      <c r="D154" s="5">
        <f t="shared" si="2"/>
        <v>-44572.210000000006</v>
      </c>
    </row>
    <row r="155" spans="1:4" x14ac:dyDescent="0.3">
      <c r="A155" s="3" t="s">
        <v>232</v>
      </c>
      <c r="B155" s="5">
        <f>28805.88</f>
        <v>28805.88</v>
      </c>
      <c r="C155" s="5">
        <f>29000</f>
        <v>29000</v>
      </c>
      <c r="D155" s="5">
        <f t="shared" si="2"/>
        <v>194.11999999999898</v>
      </c>
    </row>
    <row r="156" spans="1:4" x14ac:dyDescent="0.3">
      <c r="A156" s="3" t="s">
        <v>233</v>
      </c>
      <c r="B156" s="7">
        <f>((B153)+(B154))+(B155)</f>
        <v>125378.09000000001</v>
      </c>
      <c r="C156" s="7">
        <f>((C153)+(C154))+(C155)</f>
        <v>81000</v>
      </c>
      <c r="D156" s="7">
        <f t="shared" si="2"/>
        <v>-44378.090000000011</v>
      </c>
    </row>
    <row r="157" spans="1:4" x14ac:dyDescent="0.3">
      <c r="A157" s="3" t="s">
        <v>234</v>
      </c>
      <c r="B157" s="4"/>
      <c r="C157" s="4"/>
      <c r="D157" s="5">
        <f t="shared" si="2"/>
        <v>0</v>
      </c>
    </row>
    <row r="158" spans="1:4" x14ac:dyDescent="0.3">
      <c r="A158" s="3" t="s">
        <v>235</v>
      </c>
      <c r="B158" s="5">
        <f>10222.67</f>
        <v>10222.67</v>
      </c>
      <c r="C158" s="5">
        <f>4000</f>
        <v>4000</v>
      </c>
      <c r="D158" s="5">
        <f t="shared" si="2"/>
        <v>-6222.67</v>
      </c>
    </row>
    <row r="159" spans="1:4" x14ac:dyDescent="0.3">
      <c r="A159" s="3" t="s">
        <v>236</v>
      </c>
      <c r="B159" s="7">
        <f>(B157)+(B158)</f>
        <v>10222.67</v>
      </c>
      <c r="C159" s="7">
        <f>(C157)+(C158)</f>
        <v>4000</v>
      </c>
      <c r="D159" s="7">
        <f t="shared" si="2"/>
        <v>-6222.67</v>
      </c>
    </row>
    <row r="160" spans="1:4" x14ac:dyDescent="0.3">
      <c r="A160" s="3" t="s">
        <v>237</v>
      </c>
      <c r="B160" s="5">
        <f>0</f>
        <v>0</v>
      </c>
      <c r="C160" s="4"/>
      <c r="D160" s="5">
        <f t="shared" si="2"/>
        <v>0</v>
      </c>
    </row>
    <row r="161" spans="1:4" x14ac:dyDescent="0.3">
      <c r="A161" s="3" t="s">
        <v>238</v>
      </c>
      <c r="B161" s="7">
        <f>((((((((B51)+(B82))+(B102))+(B112))+(B129))+(B152))+(B156))+(B159))+(B160)</f>
        <v>3690268.18</v>
      </c>
      <c r="C161" s="7">
        <f>((((((((C51)+(C82))+(C102))+(C112))+(C129))+(C152))+(C156))+(C159))+(C160)</f>
        <v>3653910</v>
      </c>
      <c r="D161" s="7">
        <f t="shared" si="2"/>
        <v>-36358.180000000168</v>
      </c>
    </row>
    <row r="162" spans="1:4" x14ac:dyDescent="0.3">
      <c r="A162" s="3" t="s">
        <v>239</v>
      </c>
      <c r="B162" s="7">
        <f>(B42)-(B161)</f>
        <v>743840.90999999968</v>
      </c>
      <c r="C162" s="7">
        <f>(C42)-(C161)</f>
        <v>-226907.29999999981</v>
      </c>
      <c r="D162" s="7">
        <f t="shared" si="2"/>
        <v>-970748.2099999995</v>
      </c>
    </row>
    <row r="163" spans="1:4" x14ac:dyDescent="0.3">
      <c r="A163" s="3" t="s">
        <v>240</v>
      </c>
      <c r="B163" s="4"/>
      <c r="C163" s="4"/>
      <c r="D163" s="4"/>
    </row>
    <row r="164" spans="1:4" x14ac:dyDescent="0.3">
      <c r="A164" s="3" t="s">
        <v>241</v>
      </c>
      <c r="B164" s="5">
        <f>0</f>
        <v>0</v>
      </c>
      <c r="C164" s="4"/>
      <c r="D164" s="5">
        <f>(C164)-(B164)</f>
        <v>0</v>
      </c>
    </row>
    <row r="165" spans="1:4" x14ac:dyDescent="0.3">
      <c r="A165" s="3" t="s">
        <v>242</v>
      </c>
      <c r="B165" s="7">
        <f>B164</f>
        <v>0</v>
      </c>
      <c r="C165" s="7">
        <f>C164</f>
        <v>0</v>
      </c>
      <c r="D165" s="7">
        <f>(C165)-(B165)</f>
        <v>0</v>
      </c>
    </row>
    <row r="166" spans="1:4" x14ac:dyDescent="0.3">
      <c r="A166" s="3" t="s">
        <v>243</v>
      </c>
      <c r="B166" s="7">
        <f>(0)-(B165)</f>
        <v>0</v>
      </c>
      <c r="C166" s="7">
        <f>(0)-(C165)</f>
        <v>0</v>
      </c>
      <c r="D166" s="7">
        <f>(C166)-(B166)</f>
        <v>0</v>
      </c>
    </row>
    <row r="167" spans="1:4" x14ac:dyDescent="0.3">
      <c r="A167" s="3" t="s">
        <v>244</v>
      </c>
      <c r="B167" s="7">
        <f>(B162)+(B166)</f>
        <v>743840.90999999968</v>
      </c>
      <c r="C167" s="7">
        <f>(C162)+(C166)</f>
        <v>-226907.29999999981</v>
      </c>
      <c r="D167" s="7">
        <f>(C167)-(B167)</f>
        <v>-970748.2099999995</v>
      </c>
    </row>
    <row r="168" spans="1:4" x14ac:dyDescent="0.3">
      <c r="A168" s="3"/>
      <c r="B168" s="4"/>
      <c r="C168" s="4"/>
      <c r="D168" s="4"/>
    </row>
    <row r="171" spans="1:4" x14ac:dyDescent="0.3">
      <c r="A171" s="8" t="s">
        <v>245</v>
      </c>
      <c r="B171" s="9"/>
      <c r="C171" s="9"/>
      <c r="D171" s="9"/>
    </row>
  </sheetData>
  <mergeCells count="5">
    <mergeCell ref="A1:D1"/>
    <mergeCell ref="A2:D2"/>
    <mergeCell ref="A3:D3"/>
    <mergeCell ref="B5:D5"/>
    <mergeCell ref="A171:D1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EA41-F0A1-4917-941A-AB605FD18ECE}">
  <dimension ref="A1:C147"/>
  <sheetViews>
    <sheetView workbookViewId="0">
      <selection sqref="A1:XFD1048576"/>
    </sheetView>
  </sheetViews>
  <sheetFormatPr defaultRowHeight="14.4" x14ac:dyDescent="0.3"/>
  <cols>
    <col min="1" max="1" width="54.109375" customWidth="1"/>
    <col min="2" max="3" width="24.88671875" customWidth="1"/>
  </cols>
  <sheetData>
    <row r="1" spans="1:3" ht="17.399999999999999" x14ac:dyDescent="0.3">
      <c r="A1" s="10" t="s">
        <v>49</v>
      </c>
      <c r="B1" s="9"/>
      <c r="C1" s="9"/>
    </row>
    <row r="2" spans="1:3" ht="17.399999999999999" x14ac:dyDescent="0.3">
      <c r="A2" s="10" t="s">
        <v>246</v>
      </c>
      <c r="B2" s="9"/>
      <c r="C2" s="9"/>
    </row>
    <row r="3" spans="1:3" x14ac:dyDescent="0.3">
      <c r="A3" s="11" t="s">
        <v>51</v>
      </c>
      <c r="B3" s="9"/>
      <c r="C3" s="9"/>
    </row>
    <row r="5" spans="1:3" x14ac:dyDescent="0.3">
      <c r="A5" s="1"/>
      <c r="B5" s="2" t="s">
        <v>53</v>
      </c>
      <c r="C5" s="2" t="s">
        <v>54</v>
      </c>
    </row>
    <row r="6" spans="1:3" x14ac:dyDescent="0.3">
      <c r="A6" s="3" t="s">
        <v>247</v>
      </c>
      <c r="B6" s="5">
        <f>2099817.09</f>
        <v>2099817.09</v>
      </c>
      <c r="C6" s="4"/>
    </row>
    <row r="7" spans="1:3" x14ac:dyDescent="0.3">
      <c r="A7" s="3" t="s">
        <v>248</v>
      </c>
      <c r="B7" s="5">
        <f>2000</f>
        <v>2000</v>
      </c>
      <c r="C7" s="4"/>
    </row>
    <row r="8" spans="1:3" x14ac:dyDescent="0.3">
      <c r="A8" s="3" t="s">
        <v>249</v>
      </c>
      <c r="B8" s="5">
        <f>577735.92</f>
        <v>577735.92000000004</v>
      </c>
      <c r="C8" s="4"/>
    </row>
    <row r="9" spans="1:3" x14ac:dyDescent="0.3">
      <c r="A9" s="3" t="s">
        <v>250</v>
      </c>
      <c r="B9" s="5">
        <f>21752.52</f>
        <v>21752.52</v>
      </c>
      <c r="C9" s="4"/>
    </row>
    <row r="10" spans="1:3" x14ac:dyDescent="0.3">
      <c r="A10" s="3" t="s">
        <v>251</v>
      </c>
      <c r="B10" s="5">
        <f>930337.61</f>
        <v>930337.61</v>
      </c>
      <c r="C10" s="4"/>
    </row>
    <row r="11" spans="1:3" x14ac:dyDescent="0.3">
      <c r="A11" s="3" t="s">
        <v>252</v>
      </c>
      <c r="B11" s="5">
        <f>78590.18</f>
        <v>78590.179999999993</v>
      </c>
      <c r="C11" s="4"/>
    </row>
    <row r="12" spans="1:3" x14ac:dyDescent="0.3">
      <c r="A12" s="3" t="s">
        <v>253</v>
      </c>
      <c r="B12" s="5">
        <f>6026.45</f>
        <v>6026.45</v>
      </c>
      <c r="C12" s="4"/>
    </row>
    <row r="13" spans="1:3" x14ac:dyDescent="0.3">
      <c r="A13" s="3" t="s">
        <v>254</v>
      </c>
      <c r="B13" s="4"/>
      <c r="C13" s="5">
        <f>7132.31</f>
        <v>7132.31</v>
      </c>
    </row>
    <row r="14" spans="1:3" x14ac:dyDescent="0.3">
      <c r="A14" s="3" t="s">
        <v>255</v>
      </c>
      <c r="B14" s="4"/>
      <c r="C14" s="5">
        <f>102198.6</f>
        <v>102198.6</v>
      </c>
    </row>
    <row r="15" spans="1:3" x14ac:dyDescent="0.3">
      <c r="A15" s="3" t="s">
        <v>256</v>
      </c>
      <c r="B15" s="4"/>
      <c r="C15" s="5">
        <f>174.33</f>
        <v>174.33</v>
      </c>
    </row>
    <row r="16" spans="1:3" x14ac:dyDescent="0.3">
      <c r="A16" s="3" t="s">
        <v>257</v>
      </c>
      <c r="B16" s="4"/>
      <c r="C16" s="5">
        <f>14003.45</f>
        <v>14003.45</v>
      </c>
    </row>
    <row r="17" spans="1:3" x14ac:dyDescent="0.3">
      <c r="A17" s="3" t="s">
        <v>258</v>
      </c>
      <c r="B17" s="4"/>
      <c r="C17" s="5">
        <f>1724.1</f>
        <v>1724.1</v>
      </c>
    </row>
    <row r="18" spans="1:3" x14ac:dyDescent="0.3">
      <c r="A18" s="3" t="s">
        <v>259</v>
      </c>
      <c r="B18" s="4"/>
      <c r="C18" s="5">
        <f>39546.9</f>
        <v>39546.9</v>
      </c>
    </row>
    <row r="19" spans="1:3" x14ac:dyDescent="0.3">
      <c r="A19" s="3" t="s">
        <v>260</v>
      </c>
      <c r="B19" s="4"/>
      <c r="C19" s="5">
        <f>105.6</f>
        <v>105.6</v>
      </c>
    </row>
    <row r="20" spans="1:3" x14ac:dyDescent="0.3">
      <c r="A20" s="3" t="s">
        <v>261</v>
      </c>
      <c r="B20" s="4"/>
      <c r="C20" s="5">
        <f>56.1</f>
        <v>56.1</v>
      </c>
    </row>
    <row r="21" spans="1:3" x14ac:dyDescent="0.3">
      <c r="A21" s="3" t="s">
        <v>262</v>
      </c>
      <c r="B21" s="4"/>
      <c r="C21" s="5">
        <f>4644</f>
        <v>4644</v>
      </c>
    </row>
    <row r="22" spans="1:3" x14ac:dyDescent="0.3">
      <c r="A22" s="3" t="s">
        <v>263</v>
      </c>
      <c r="B22" s="4"/>
      <c r="C22" s="5">
        <f>8881</f>
        <v>8881</v>
      </c>
    </row>
    <row r="23" spans="1:3" x14ac:dyDescent="0.3">
      <c r="A23" s="3" t="s">
        <v>264</v>
      </c>
      <c r="B23" s="4"/>
      <c r="C23" s="5">
        <f>1933.83</f>
        <v>1933.83</v>
      </c>
    </row>
    <row r="24" spans="1:3" x14ac:dyDescent="0.3">
      <c r="A24" s="3" t="s">
        <v>265</v>
      </c>
      <c r="B24" s="4"/>
      <c r="C24" s="5">
        <f>1933.83</f>
        <v>1933.83</v>
      </c>
    </row>
    <row r="25" spans="1:3" x14ac:dyDescent="0.3">
      <c r="A25" s="3" t="s">
        <v>266</v>
      </c>
      <c r="B25" s="4"/>
      <c r="C25" s="5">
        <f>27873.49</f>
        <v>27873.49</v>
      </c>
    </row>
    <row r="26" spans="1:3" x14ac:dyDescent="0.3">
      <c r="A26" s="3" t="s">
        <v>267</v>
      </c>
      <c r="B26" s="4"/>
      <c r="C26" s="5">
        <f>99000</f>
        <v>99000</v>
      </c>
    </row>
    <row r="27" spans="1:3" x14ac:dyDescent="0.3">
      <c r="A27" s="3" t="s">
        <v>268</v>
      </c>
      <c r="B27" s="4"/>
      <c r="C27" s="5">
        <f>2663211.32</f>
        <v>2663211.3199999998</v>
      </c>
    </row>
    <row r="28" spans="1:3" x14ac:dyDescent="0.3">
      <c r="A28" s="3" t="s">
        <v>269</v>
      </c>
      <c r="B28" s="4"/>
      <c r="C28" s="5">
        <f>943.37</f>
        <v>943.37</v>
      </c>
    </row>
    <row r="29" spans="1:3" x14ac:dyDescent="0.3">
      <c r="A29" s="3" t="s">
        <v>270</v>
      </c>
      <c r="B29" s="4"/>
      <c r="C29" s="5">
        <f>26886.99</f>
        <v>26886.99</v>
      </c>
    </row>
    <row r="30" spans="1:3" x14ac:dyDescent="0.3">
      <c r="A30" s="3" t="s">
        <v>271</v>
      </c>
      <c r="B30" s="4"/>
      <c r="C30" s="5">
        <f>180</f>
        <v>180</v>
      </c>
    </row>
    <row r="31" spans="1:3" x14ac:dyDescent="0.3">
      <c r="A31" s="3" t="s">
        <v>272</v>
      </c>
      <c r="B31" s="4"/>
      <c r="C31" s="5">
        <f>1511.55</f>
        <v>1511.55</v>
      </c>
    </row>
    <row r="32" spans="1:3" x14ac:dyDescent="0.3">
      <c r="A32" s="3" t="s">
        <v>273</v>
      </c>
      <c r="B32" s="4"/>
      <c r="C32" s="5">
        <f>93.9</f>
        <v>93.9</v>
      </c>
    </row>
    <row r="33" spans="1:3" x14ac:dyDescent="0.3">
      <c r="A33" s="3" t="s">
        <v>274</v>
      </c>
      <c r="B33" s="4"/>
      <c r="C33" s="5">
        <f>1565.66</f>
        <v>1565.66</v>
      </c>
    </row>
    <row r="34" spans="1:3" x14ac:dyDescent="0.3">
      <c r="A34" s="3" t="s">
        <v>275</v>
      </c>
      <c r="B34" s="4"/>
      <c r="C34" s="5">
        <f>26925.16</f>
        <v>26925.16</v>
      </c>
    </row>
    <row r="35" spans="1:3" x14ac:dyDescent="0.3">
      <c r="A35" s="3" t="s">
        <v>276</v>
      </c>
      <c r="B35" s="4"/>
      <c r="C35" s="5">
        <f>960</f>
        <v>960</v>
      </c>
    </row>
    <row r="36" spans="1:3" x14ac:dyDescent="0.3">
      <c r="A36" s="3" t="s">
        <v>277</v>
      </c>
      <c r="B36" s="4"/>
      <c r="C36" s="5">
        <f>747.7</f>
        <v>747.7</v>
      </c>
    </row>
    <row r="37" spans="1:3" x14ac:dyDescent="0.3">
      <c r="A37" s="3" t="s">
        <v>278</v>
      </c>
      <c r="B37" s="4"/>
      <c r="C37" s="5">
        <f>416795.41</f>
        <v>416795.41</v>
      </c>
    </row>
    <row r="38" spans="1:3" x14ac:dyDescent="0.3">
      <c r="A38" s="3" t="s">
        <v>279</v>
      </c>
      <c r="B38" s="4"/>
      <c r="C38" s="5">
        <f>1000</f>
        <v>1000</v>
      </c>
    </row>
    <row r="39" spans="1:3" x14ac:dyDescent="0.3">
      <c r="A39" s="3" t="s">
        <v>280</v>
      </c>
      <c r="B39" s="4"/>
      <c r="C39" s="5">
        <f>117350.2</f>
        <v>117350.2</v>
      </c>
    </row>
    <row r="40" spans="1:3" x14ac:dyDescent="0.3">
      <c r="A40" s="3" t="s">
        <v>281</v>
      </c>
      <c r="B40" s="4"/>
      <c r="C40" s="5">
        <f>900</f>
        <v>900</v>
      </c>
    </row>
    <row r="41" spans="1:3" x14ac:dyDescent="0.3">
      <c r="A41" s="3" t="s">
        <v>282</v>
      </c>
      <c r="B41" s="4"/>
      <c r="C41" s="5">
        <f>7277.58</f>
        <v>7277.58</v>
      </c>
    </row>
    <row r="42" spans="1:3" x14ac:dyDescent="0.3">
      <c r="A42" s="3" t="s">
        <v>283</v>
      </c>
      <c r="B42" s="4"/>
      <c r="C42" s="5">
        <f>130404.27</f>
        <v>130404.27</v>
      </c>
    </row>
    <row r="43" spans="1:3" x14ac:dyDescent="0.3">
      <c r="A43" s="3" t="s">
        <v>284</v>
      </c>
      <c r="B43" s="4"/>
      <c r="C43" s="5">
        <f>5500</f>
        <v>5500</v>
      </c>
    </row>
    <row r="44" spans="1:3" x14ac:dyDescent="0.3">
      <c r="A44" s="3" t="s">
        <v>285</v>
      </c>
      <c r="B44" s="4"/>
      <c r="C44" s="5">
        <f>1221.77</f>
        <v>1221.77</v>
      </c>
    </row>
    <row r="45" spans="1:3" x14ac:dyDescent="0.3">
      <c r="A45" s="3" t="s">
        <v>286</v>
      </c>
      <c r="B45" s="4"/>
      <c r="C45" s="5">
        <f>540.24</f>
        <v>540.24</v>
      </c>
    </row>
    <row r="46" spans="1:3" x14ac:dyDescent="0.3">
      <c r="A46" s="3" t="s">
        <v>287</v>
      </c>
      <c r="B46" s="4"/>
      <c r="C46" s="5">
        <f>270</f>
        <v>270</v>
      </c>
    </row>
    <row r="47" spans="1:3" x14ac:dyDescent="0.3">
      <c r="A47" s="3" t="s">
        <v>288</v>
      </c>
      <c r="B47" s="4"/>
      <c r="C47" s="5">
        <f>22592.97</f>
        <v>22592.97</v>
      </c>
    </row>
    <row r="48" spans="1:3" x14ac:dyDescent="0.3">
      <c r="A48" s="3" t="s">
        <v>289</v>
      </c>
      <c r="B48" s="4"/>
      <c r="C48" s="5">
        <f>64886.29</f>
        <v>64886.29</v>
      </c>
    </row>
    <row r="49" spans="1:3" x14ac:dyDescent="0.3">
      <c r="A49" s="3" t="s">
        <v>290</v>
      </c>
      <c r="B49" s="4"/>
      <c r="C49" s="5">
        <f>9706.01</f>
        <v>9706.01</v>
      </c>
    </row>
    <row r="50" spans="1:3" x14ac:dyDescent="0.3">
      <c r="A50" s="3" t="s">
        <v>291</v>
      </c>
      <c r="B50" s="4"/>
      <c r="C50" s="5">
        <f>215473.94</f>
        <v>215473.94</v>
      </c>
    </row>
    <row r="51" spans="1:3" x14ac:dyDescent="0.3">
      <c r="A51" s="3" t="s">
        <v>292</v>
      </c>
      <c r="B51" s="4"/>
      <c r="C51" s="5">
        <f>3380376.08</f>
        <v>3380376.08</v>
      </c>
    </row>
    <row r="52" spans="1:3" x14ac:dyDescent="0.3">
      <c r="A52" s="3" t="s">
        <v>293</v>
      </c>
      <c r="B52" s="5">
        <f>232589.04</f>
        <v>232589.04</v>
      </c>
      <c r="C52" s="4"/>
    </row>
    <row r="53" spans="1:3" x14ac:dyDescent="0.3">
      <c r="A53" s="3" t="s">
        <v>294</v>
      </c>
      <c r="B53" s="5">
        <f>1134847.2</f>
        <v>1134847.2</v>
      </c>
      <c r="C53" s="4"/>
    </row>
    <row r="54" spans="1:3" x14ac:dyDescent="0.3">
      <c r="A54" s="3" t="s">
        <v>295</v>
      </c>
      <c r="B54" s="5">
        <f>30521.56</f>
        <v>30521.56</v>
      </c>
      <c r="C54" s="4"/>
    </row>
    <row r="55" spans="1:3" x14ac:dyDescent="0.3">
      <c r="A55" s="3" t="s">
        <v>296</v>
      </c>
      <c r="B55" s="5">
        <f>160013.55</f>
        <v>160013.54999999999</v>
      </c>
      <c r="C55" s="4"/>
    </row>
    <row r="56" spans="1:3" x14ac:dyDescent="0.3">
      <c r="A56" s="3" t="s">
        <v>297</v>
      </c>
      <c r="B56" s="5">
        <f>58599.82</f>
        <v>58599.82</v>
      </c>
      <c r="C56" s="4"/>
    </row>
    <row r="57" spans="1:3" x14ac:dyDescent="0.3">
      <c r="A57" s="3" t="s">
        <v>298</v>
      </c>
      <c r="B57" s="5">
        <f>27095.04</f>
        <v>27095.040000000001</v>
      </c>
      <c r="C57" s="4"/>
    </row>
    <row r="58" spans="1:3" x14ac:dyDescent="0.3">
      <c r="A58" s="3" t="s">
        <v>299</v>
      </c>
      <c r="B58" s="5">
        <f>591.3</f>
        <v>591.29999999999995</v>
      </c>
      <c r="C58" s="4"/>
    </row>
    <row r="59" spans="1:3" x14ac:dyDescent="0.3">
      <c r="A59" s="3" t="s">
        <v>300</v>
      </c>
      <c r="B59" s="5">
        <f>1570.71</f>
        <v>1570.71</v>
      </c>
      <c r="C59" s="4"/>
    </row>
    <row r="60" spans="1:3" x14ac:dyDescent="0.3">
      <c r="A60" s="3" t="s">
        <v>301</v>
      </c>
      <c r="B60" s="5">
        <f>6.6</f>
        <v>6.6</v>
      </c>
      <c r="C60" s="4"/>
    </row>
    <row r="61" spans="1:3" x14ac:dyDescent="0.3">
      <c r="A61" s="3" t="s">
        <v>302</v>
      </c>
      <c r="B61" s="5">
        <f>116.12</f>
        <v>116.12</v>
      </c>
      <c r="C61" s="4"/>
    </row>
    <row r="62" spans="1:3" x14ac:dyDescent="0.3">
      <c r="A62" s="3" t="s">
        <v>303</v>
      </c>
      <c r="B62" s="5">
        <f>80.01</f>
        <v>80.010000000000005</v>
      </c>
      <c r="C62" s="4"/>
    </row>
    <row r="63" spans="1:3" x14ac:dyDescent="0.3">
      <c r="A63" s="3" t="s">
        <v>304</v>
      </c>
      <c r="B63" s="5">
        <f>53.53</f>
        <v>53.53</v>
      </c>
      <c r="C63" s="4"/>
    </row>
    <row r="64" spans="1:3" x14ac:dyDescent="0.3">
      <c r="A64" s="3" t="s">
        <v>305</v>
      </c>
      <c r="B64" s="5">
        <f>3342.15</f>
        <v>3342.15</v>
      </c>
      <c r="C64" s="4"/>
    </row>
    <row r="65" spans="1:3" x14ac:dyDescent="0.3">
      <c r="A65" s="3" t="s">
        <v>306</v>
      </c>
      <c r="B65" s="5">
        <f>17595.35</f>
        <v>17595.349999999999</v>
      </c>
      <c r="C65" s="4"/>
    </row>
    <row r="66" spans="1:3" x14ac:dyDescent="0.3">
      <c r="A66" s="3" t="s">
        <v>307</v>
      </c>
      <c r="B66" s="5">
        <f>2088.73</f>
        <v>2088.73</v>
      </c>
      <c r="C66" s="4"/>
    </row>
    <row r="67" spans="1:3" x14ac:dyDescent="0.3">
      <c r="A67" s="3" t="s">
        <v>308</v>
      </c>
      <c r="B67" s="5">
        <f>444.23</f>
        <v>444.23</v>
      </c>
      <c r="C67" s="4"/>
    </row>
    <row r="68" spans="1:3" x14ac:dyDescent="0.3">
      <c r="A68" s="3" t="s">
        <v>309</v>
      </c>
      <c r="B68" s="5">
        <f>889.08</f>
        <v>889.08</v>
      </c>
      <c r="C68" s="4"/>
    </row>
    <row r="69" spans="1:3" x14ac:dyDescent="0.3">
      <c r="A69" s="3" t="s">
        <v>310</v>
      </c>
      <c r="B69" s="5">
        <f>411.66</f>
        <v>411.66</v>
      </c>
      <c r="C69" s="4"/>
    </row>
    <row r="70" spans="1:3" x14ac:dyDescent="0.3">
      <c r="A70" s="3" t="s">
        <v>311</v>
      </c>
      <c r="B70" s="5">
        <f>60695.94</f>
        <v>60695.94</v>
      </c>
      <c r="C70" s="4"/>
    </row>
    <row r="71" spans="1:3" x14ac:dyDescent="0.3">
      <c r="A71" s="3" t="s">
        <v>312</v>
      </c>
      <c r="B71" s="5">
        <f>29080.39</f>
        <v>29080.39</v>
      </c>
      <c r="C71" s="4"/>
    </row>
    <row r="72" spans="1:3" x14ac:dyDescent="0.3">
      <c r="A72" s="3" t="s">
        <v>313</v>
      </c>
      <c r="B72" s="5">
        <f>190413.85</f>
        <v>190413.85</v>
      </c>
      <c r="C72" s="4"/>
    </row>
    <row r="73" spans="1:3" x14ac:dyDescent="0.3">
      <c r="A73" s="3" t="s">
        <v>314</v>
      </c>
      <c r="B73" s="5">
        <f>5851.52</f>
        <v>5851.52</v>
      </c>
      <c r="C73" s="4"/>
    </row>
    <row r="74" spans="1:3" x14ac:dyDescent="0.3">
      <c r="A74" s="3" t="s">
        <v>315</v>
      </c>
      <c r="B74" s="5">
        <f>23524.6</f>
        <v>23524.6</v>
      </c>
      <c r="C74" s="4"/>
    </row>
    <row r="75" spans="1:3" x14ac:dyDescent="0.3">
      <c r="A75" s="3" t="s">
        <v>316</v>
      </c>
      <c r="B75" s="5">
        <f>9303.02</f>
        <v>9303.02</v>
      </c>
      <c r="C75" s="4"/>
    </row>
    <row r="76" spans="1:3" x14ac:dyDescent="0.3">
      <c r="A76" s="3" t="s">
        <v>317</v>
      </c>
      <c r="B76" s="5">
        <f>4925.93</f>
        <v>4925.93</v>
      </c>
      <c r="C76" s="4"/>
    </row>
    <row r="77" spans="1:3" x14ac:dyDescent="0.3">
      <c r="A77" s="3" t="s">
        <v>318</v>
      </c>
      <c r="B77" s="5">
        <f>17009.82</f>
        <v>17009.82</v>
      </c>
      <c r="C77" s="4"/>
    </row>
    <row r="78" spans="1:3" x14ac:dyDescent="0.3">
      <c r="A78" s="3" t="s">
        <v>319</v>
      </c>
      <c r="B78" s="5">
        <f>139978.3</f>
        <v>139978.29999999999</v>
      </c>
      <c r="C78" s="4"/>
    </row>
    <row r="79" spans="1:3" x14ac:dyDescent="0.3">
      <c r="A79" s="3" t="s">
        <v>320</v>
      </c>
      <c r="B79" s="5">
        <f>7372.2</f>
        <v>7372.2</v>
      </c>
      <c r="C79" s="4"/>
    </row>
    <row r="80" spans="1:3" x14ac:dyDescent="0.3">
      <c r="A80" s="3" t="s">
        <v>321</v>
      </c>
      <c r="B80" s="5">
        <f>2534.16</f>
        <v>2534.16</v>
      </c>
      <c r="C80" s="4"/>
    </row>
    <row r="81" spans="1:3" x14ac:dyDescent="0.3">
      <c r="A81" s="3" t="s">
        <v>322</v>
      </c>
      <c r="B81" s="5">
        <f>10800</f>
        <v>10800</v>
      </c>
      <c r="C81" s="4"/>
    </row>
    <row r="82" spans="1:3" x14ac:dyDescent="0.3">
      <c r="A82" s="3" t="s">
        <v>323</v>
      </c>
      <c r="B82" s="5">
        <f>87600</f>
        <v>87600</v>
      </c>
      <c r="C82" s="4"/>
    </row>
    <row r="83" spans="1:3" x14ac:dyDescent="0.3">
      <c r="A83" s="3" t="s">
        <v>324</v>
      </c>
      <c r="B83" s="5">
        <f>600</f>
        <v>600</v>
      </c>
      <c r="C83" s="4"/>
    </row>
    <row r="84" spans="1:3" x14ac:dyDescent="0.3">
      <c r="A84" s="3" t="s">
        <v>325</v>
      </c>
      <c r="B84" s="5">
        <f>6800</f>
        <v>6800</v>
      </c>
      <c r="C84" s="4"/>
    </row>
    <row r="85" spans="1:3" x14ac:dyDescent="0.3">
      <c r="A85" s="3" t="s">
        <v>326</v>
      </c>
      <c r="B85" s="5">
        <f>8600</f>
        <v>8600</v>
      </c>
      <c r="C85" s="4"/>
    </row>
    <row r="86" spans="1:3" x14ac:dyDescent="0.3">
      <c r="A86" s="3" t="s">
        <v>327</v>
      </c>
      <c r="B86" s="5">
        <f>1300</f>
        <v>1300</v>
      </c>
      <c r="C86" s="4"/>
    </row>
    <row r="87" spans="1:3" x14ac:dyDescent="0.3">
      <c r="A87" s="3" t="s">
        <v>328</v>
      </c>
      <c r="B87" s="5">
        <f>72.05</f>
        <v>72.05</v>
      </c>
      <c r="C87" s="4"/>
    </row>
    <row r="88" spans="1:3" x14ac:dyDescent="0.3">
      <c r="A88" s="3" t="s">
        <v>329</v>
      </c>
      <c r="B88" s="5">
        <f>10907.54</f>
        <v>10907.54</v>
      </c>
      <c r="C88" s="4"/>
    </row>
    <row r="89" spans="1:3" x14ac:dyDescent="0.3">
      <c r="A89" s="3" t="s">
        <v>330</v>
      </c>
      <c r="B89" s="5">
        <f>17935.93</f>
        <v>17935.93</v>
      </c>
      <c r="C89" s="4"/>
    </row>
    <row r="90" spans="1:3" x14ac:dyDescent="0.3">
      <c r="A90" s="3" t="s">
        <v>331</v>
      </c>
      <c r="B90" s="5">
        <f>1037</f>
        <v>1037</v>
      </c>
      <c r="C90" s="4"/>
    </row>
    <row r="91" spans="1:3" x14ac:dyDescent="0.3">
      <c r="A91" s="3" t="s">
        <v>332</v>
      </c>
      <c r="B91" s="5">
        <f>9000</f>
        <v>9000</v>
      </c>
      <c r="C91" s="4"/>
    </row>
    <row r="92" spans="1:3" x14ac:dyDescent="0.3">
      <c r="A92" s="3" t="s">
        <v>333</v>
      </c>
      <c r="B92" s="5">
        <f>1500</f>
        <v>1500</v>
      </c>
      <c r="C92" s="4"/>
    </row>
    <row r="93" spans="1:3" x14ac:dyDescent="0.3">
      <c r="A93" s="3" t="s">
        <v>334</v>
      </c>
      <c r="B93" s="5">
        <f>473.6</f>
        <v>473.6</v>
      </c>
      <c r="C93" s="4"/>
    </row>
    <row r="94" spans="1:3" x14ac:dyDescent="0.3">
      <c r="A94" s="3" t="s">
        <v>335</v>
      </c>
      <c r="B94" s="5">
        <f>1686.25</f>
        <v>1686.25</v>
      </c>
      <c r="C94" s="4"/>
    </row>
    <row r="95" spans="1:3" x14ac:dyDescent="0.3">
      <c r="A95" s="3" t="s">
        <v>336</v>
      </c>
      <c r="B95" s="5">
        <f>25864.95</f>
        <v>25864.95</v>
      </c>
      <c r="C95" s="4"/>
    </row>
    <row r="96" spans="1:3" x14ac:dyDescent="0.3">
      <c r="A96" s="3" t="s">
        <v>337</v>
      </c>
      <c r="B96" s="5">
        <f>960</f>
        <v>960</v>
      </c>
      <c r="C96" s="4"/>
    </row>
    <row r="97" spans="1:3" x14ac:dyDescent="0.3">
      <c r="A97" s="3" t="s">
        <v>338</v>
      </c>
      <c r="B97" s="5">
        <f>12749.52</f>
        <v>12749.52</v>
      </c>
      <c r="C97" s="4"/>
    </row>
    <row r="98" spans="1:3" x14ac:dyDescent="0.3">
      <c r="A98" s="3" t="s">
        <v>339</v>
      </c>
      <c r="B98" s="5">
        <f>12375.4</f>
        <v>12375.4</v>
      </c>
      <c r="C98" s="4"/>
    </row>
    <row r="99" spans="1:3" x14ac:dyDescent="0.3">
      <c r="A99" s="3" t="s">
        <v>340</v>
      </c>
      <c r="B99" s="5">
        <f>1726.99</f>
        <v>1726.99</v>
      </c>
      <c r="C99" s="4"/>
    </row>
    <row r="100" spans="1:3" x14ac:dyDescent="0.3">
      <c r="A100" s="3" t="s">
        <v>341</v>
      </c>
      <c r="B100" s="5">
        <f>469</f>
        <v>469</v>
      </c>
      <c r="C100" s="4"/>
    </row>
    <row r="101" spans="1:3" x14ac:dyDescent="0.3">
      <c r="A101" s="3" t="s">
        <v>342</v>
      </c>
      <c r="B101" s="5">
        <f>6633.09</f>
        <v>6633.09</v>
      </c>
      <c r="C101" s="4"/>
    </row>
    <row r="102" spans="1:3" x14ac:dyDescent="0.3">
      <c r="A102" s="3" t="s">
        <v>343</v>
      </c>
      <c r="B102" s="5">
        <f>105161.38</f>
        <v>105161.38</v>
      </c>
      <c r="C102" s="4"/>
    </row>
    <row r="103" spans="1:3" x14ac:dyDescent="0.3">
      <c r="A103" s="3" t="s">
        <v>344</v>
      </c>
      <c r="B103" s="5">
        <f>16755.28</f>
        <v>16755.28</v>
      </c>
      <c r="C103" s="4"/>
    </row>
    <row r="104" spans="1:3" x14ac:dyDescent="0.3">
      <c r="A104" s="3" t="s">
        <v>345</v>
      </c>
      <c r="B104" s="5">
        <f>8799.99</f>
        <v>8799.99</v>
      </c>
      <c r="C104" s="4"/>
    </row>
    <row r="105" spans="1:3" x14ac:dyDescent="0.3">
      <c r="A105" s="3" t="s">
        <v>346</v>
      </c>
      <c r="B105" s="5">
        <f>9630</f>
        <v>9630</v>
      </c>
      <c r="C105" s="4"/>
    </row>
    <row r="106" spans="1:3" x14ac:dyDescent="0.3">
      <c r="A106" s="3" t="s">
        <v>347</v>
      </c>
      <c r="B106" s="5">
        <f>12677.06</f>
        <v>12677.06</v>
      </c>
      <c r="C106" s="4"/>
    </row>
    <row r="107" spans="1:3" x14ac:dyDescent="0.3">
      <c r="A107" s="3" t="s">
        <v>348</v>
      </c>
      <c r="B107" s="5">
        <f>344413.56</f>
        <v>344413.56</v>
      </c>
      <c r="C107" s="4"/>
    </row>
    <row r="108" spans="1:3" x14ac:dyDescent="0.3">
      <c r="A108" s="3" t="s">
        <v>349</v>
      </c>
      <c r="B108" s="5">
        <f>4701.57</f>
        <v>4701.57</v>
      </c>
      <c r="C108" s="4"/>
    </row>
    <row r="109" spans="1:3" x14ac:dyDescent="0.3">
      <c r="A109" s="3" t="s">
        <v>350</v>
      </c>
      <c r="B109" s="5">
        <f>13477.77</f>
        <v>13477.77</v>
      </c>
      <c r="C109" s="4"/>
    </row>
    <row r="110" spans="1:3" x14ac:dyDescent="0.3">
      <c r="A110" s="3" t="s">
        <v>351</v>
      </c>
      <c r="B110" s="5">
        <f>55.65</f>
        <v>55.65</v>
      </c>
      <c r="C110" s="4"/>
    </row>
    <row r="111" spans="1:3" x14ac:dyDescent="0.3">
      <c r="A111" s="3" t="s">
        <v>352</v>
      </c>
      <c r="B111" s="5">
        <f>6662.04</f>
        <v>6662.04</v>
      </c>
      <c r="C111" s="4"/>
    </row>
    <row r="112" spans="1:3" x14ac:dyDescent="0.3">
      <c r="A112" s="3" t="s">
        <v>353</v>
      </c>
      <c r="B112" s="5">
        <f>4904.51</f>
        <v>4904.51</v>
      </c>
      <c r="C112" s="4"/>
    </row>
    <row r="113" spans="1:3" x14ac:dyDescent="0.3">
      <c r="A113" s="3" t="s">
        <v>354</v>
      </c>
      <c r="B113" s="5">
        <f>30935</f>
        <v>30935</v>
      </c>
      <c r="C113" s="4"/>
    </row>
    <row r="114" spans="1:3" x14ac:dyDescent="0.3">
      <c r="A114" s="3" t="s">
        <v>355</v>
      </c>
      <c r="B114" s="5">
        <f>19080</f>
        <v>19080</v>
      </c>
      <c r="C114" s="4"/>
    </row>
    <row r="115" spans="1:3" x14ac:dyDescent="0.3">
      <c r="A115" s="3" t="s">
        <v>356</v>
      </c>
      <c r="B115" s="5">
        <f>8276.56</f>
        <v>8276.56</v>
      </c>
      <c r="C115" s="4"/>
    </row>
    <row r="116" spans="1:3" x14ac:dyDescent="0.3">
      <c r="A116" s="3" t="s">
        <v>357</v>
      </c>
      <c r="B116" s="5">
        <f>6359.7</f>
        <v>6359.7</v>
      </c>
      <c r="C116" s="4"/>
    </row>
    <row r="117" spans="1:3" x14ac:dyDescent="0.3">
      <c r="A117" s="3" t="s">
        <v>358</v>
      </c>
      <c r="B117" s="5">
        <f>758.47</f>
        <v>758.47</v>
      </c>
      <c r="C117" s="4"/>
    </row>
    <row r="118" spans="1:3" x14ac:dyDescent="0.3">
      <c r="A118" s="3" t="s">
        <v>359</v>
      </c>
      <c r="B118" s="5">
        <f>7214.64</f>
        <v>7214.64</v>
      </c>
      <c r="C118" s="4"/>
    </row>
    <row r="119" spans="1:3" x14ac:dyDescent="0.3">
      <c r="A119" s="3" t="s">
        <v>360</v>
      </c>
      <c r="B119" s="5">
        <f>8452.98</f>
        <v>8452.98</v>
      </c>
      <c r="C119" s="4"/>
    </row>
    <row r="120" spans="1:3" x14ac:dyDescent="0.3">
      <c r="A120" s="3" t="s">
        <v>361</v>
      </c>
      <c r="B120" s="5">
        <f>10675.69</f>
        <v>10675.69</v>
      </c>
      <c r="C120" s="4"/>
    </row>
    <row r="121" spans="1:3" x14ac:dyDescent="0.3">
      <c r="A121" s="3" t="s">
        <v>362</v>
      </c>
      <c r="B121" s="5">
        <f>393110.18</f>
        <v>393110.18</v>
      </c>
      <c r="C121" s="4"/>
    </row>
    <row r="122" spans="1:3" x14ac:dyDescent="0.3">
      <c r="A122" s="3" t="s">
        <v>363</v>
      </c>
      <c r="B122" s="5">
        <f>2025</f>
        <v>2025</v>
      </c>
      <c r="C122" s="4"/>
    </row>
    <row r="123" spans="1:3" x14ac:dyDescent="0.3">
      <c r="A123" s="3" t="s">
        <v>364</v>
      </c>
      <c r="B123" s="5">
        <f>22895.02</f>
        <v>22895.02</v>
      </c>
      <c r="C123" s="4"/>
    </row>
    <row r="124" spans="1:3" x14ac:dyDescent="0.3">
      <c r="A124" s="3" t="s">
        <v>365</v>
      </c>
      <c r="B124" s="5">
        <f>1400.83</f>
        <v>1400.83</v>
      </c>
      <c r="C124" s="4"/>
    </row>
    <row r="125" spans="1:3" x14ac:dyDescent="0.3">
      <c r="A125" s="3" t="s">
        <v>366</v>
      </c>
      <c r="B125" s="5">
        <f>7003.02</f>
        <v>7003.02</v>
      </c>
      <c r="C125" s="4"/>
    </row>
    <row r="126" spans="1:3" x14ac:dyDescent="0.3">
      <c r="A126" s="3" t="s">
        <v>367</v>
      </c>
      <c r="B126" s="5">
        <f>236.12</f>
        <v>236.12</v>
      </c>
      <c r="C126" s="4"/>
    </row>
    <row r="127" spans="1:3" x14ac:dyDescent="0.3">
      <c r="A127" s="3" t="s">
        <v>368</v>
      </c>
      <c r="B127" s="5">
        <f>503.13</f>
        <v>503.13</v>
      </c>
      <c r="C127" s="4"/>
    </row>
    <row r="128" spans="1:3" x14ac:dyDescent="0.3">
      <c r="A128" s="3" t="s">
        <v>369</v>
      </c>
      <c r="B128" s="5">
        <f>184</f>
        <v>184</v>
      </c>
      <c r="C128" s="4"/>
    </row>
    <row r="129" spans="1:3" x14ac:dyDescent="0.3">
      <c r="A129" s="3" t="s">
        <v>370</v>
      </c>
      <c r="B129" s="5">
        <f>5752.21</f>
        <v>5752.21</v>
      </c>
      <c r="C129" s="4"/>
    </row>
    <row r="130" spans="1:3" x14ac:dyDescent="0.3">
      <c r="A130" s="3" t="s">
        <v>371</v>
      </c>
      <c r="B130" s="5">
        <f>3000.95</f>
        <v>3000.95</v>
      </c>
      <c r="C130" s="4"/>
    </row>
    <row r="131" spans="1:3" x14ac:dyDescent="0.3">
      <c r="A131" s="3" t="s">
        <v>372</v>
      </c>
      <c r="B131" s="5">
        <f>16993.37</f>
        <v>16993.37</v>
      </c>
      <c r="C131" s="4"/>
    </row>
    <row r="132" spans="1:3" x14ac:dyDescent="0.3">
      <c r="A132" s="3" t="s">
        <v>373</v>
      </c>
      <c r="B132" s="5">
        <f>14.06</f>
        <v>14.06</v>
      </c>
      <c r="C132" s="4"/>
    </row>
    <row r="133" spans="1:3" x14ac:dyDescent="0.3">
      <c r="A133" s="3" t="s">
        <v>374</v>
      </c>
      <c r="B133" s="5">
        <f>763.09</f>
        <v>763.09</v>
      </c>
      <c r="C133" s="4"/>
    </row>
    <row r="134" spans="1:3" x14ac:dyDescent="0.3">
      <c r="A134" s="3" t="s">
        <v>375</v>
      </c>
      <c r="B134" s="5">
        <f>11603.72</f>
        <v>11603.72</v>
      </c>
      <c r="C134" s="4"/>
    </row>
    <row r="135" spans="1:3" x14ac:dyDescent="0.3">
      <c r="A135" s="3" t="s">
        <v>376</v>
      </c>
      <c r="B135" s="5">
        <f>7801.05</f>
        <v>7801.05</v>
      </c>
      <c r="C135" s="4"/>
    </row>
    <row r="136" spans="1:3" x14ac:dyDescent="0.3">
      <c r="A136" s="3" t="s">
        <v>377</v>
      </c>
      <c r="B136" s="5">
        <f>5033.33</f>
        <v>5033.33</v>
      </c>
      <c r="C136" s="4"/>
    </row>
    <row r="137" spans="1:3" x14ac:dyDescent="0.3">
      <c r="A137" s="3" t="s">
        <v>378</v>
      </c>
      <c r="B137" s="5">
        <f>16652</f>
        <v>16652</v>
      </c>
      <c r="C137" s="4"/>
    </row>
    <row r="138" spans="1:3" x14ac:dyDescent="0.3">
      <c r="A138" s="3" t="s">
        <v>379</v>
      </c>
      <c r="B138" s="5">
        <f>54570.12</f>
        <v>54570.12</v>
      </c>
      <c r="C138" s="4"/>
    </row>
    <row r="139" spans="1:3" x14ac:dyDescent="0.3">
      <c r="A139" s="3" t="s">
        <v>380</v>
      </c>
      <c r="B139" s="5">
        <f>5497.64</f>
        <v>5497.64</v>
      </c>
      <c r="C139" s="4"/>
    </row>
    <row r="140" spans="1:3" x14ac:dyDescent="0.3">
      <c r="A140" s="3" t="s">
        <v>381</v>
      </c>
      <c r="B140" s="5">
        <f>96572.21</f>
        <v>96572.21</v>
      </c>
      <c r="C140" s="4"/>
    </row>
    <row r="141" spans="1:3" x14ac:dyDescent="0.3">
      <c r="A141" s="3" t="s">
        <v>382</v>
      </c>
      <c r="B141" s="5">
        <f>28805.88</f>
        <v>28805.88</v>
      </c>
      <c r="C141" s="4"/>
    </row>
    <row r="142" spans="1:3" x14ac:dyDescent="0.3">
      <c r="A142" s="3" t="s">
        <v>383</v>
      </c>
      <c r="B142" s="5">
        <f>10222.67</f>
        <v>10222.67</v>
      </c>
      <c r="C142" s="4"/>
    </row>
    <row r="143" spans="1:3" x14ac:dyDescent="0.3">
      <c r="A143" s="3" t="s">
        <v>78</v>
      </c>
      <c r="B143" s="7">
        <f>((((((((((((((((((((((((((((((((((((((((((((((((((((((((((((((((((((((((((((((((((((((((((((((((((((((((((((((((((((((((((((((((((((((((B6)+(B7))+(B8))+(B9))+(B10))+(B11))+(B12))+(B13))+(B14))+(B15))+(B16))+(B17))+(B18))+(B19))+(B20))+(B21))+(B22))+(B23)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)+(B64))+(B65))+(B66))+(B67))+(B68))+(B69))+(B70))+(B71))+(B72))+(B73))+(B74))+(B75))+(B76))+(B77))+(B78))+(B79))+(B80))+(B81))+(B82))+(B83))+(B84))+(B85))+(B86))+(B87))+(B88))+(B89))+(B90))+(B91))+(B92))+(B93))+(B94))+(B95))+(B96))+(B97))+(B98))+(B99))+(B100))+(B101))+(B102))+(B103))+(B104))+(B105))+(B106))+(B107))+(B108))+(B109))+(B110))+(B111))+(B112))+(B113))+(B114))+(B115))+(B116))+(B117))+(B118))+(B119))+(B120))+(B121))+(B122))+(B123))+(B124))+(B125))+(B126))+(B127))+(B128))+(B129))+(B130))+(B131))+(B132))+(B133))+(B134))+(B135))+(B136))+(B137))+(B138))+(B139))+(B140))+(B141))+(B142)</f>
        <v>7406527.9499999955</v>
      </c>
      <c r="C143" s="7">
        <f>((((((((((((((((((((((((((((((((((((((((((((((((((((((((((((((((((((((((((((((((((((((((((((((((((((((((((((((((((((((((((((((((((((((((C6)+(C7))+(C8))+(C9))+(C10))+(C11))+(C12))+(C13))+(C14))+(C15))+(C16))+(C17))+(C18))+(C19))+(C20))+(C21))+(C22))+(C23))+(C24))+(C25))+(C26))+(C27))+(C28))+(C29))+(C30))+(C31))+(C32))+(C33))+(C34))+(C35))+(C36))+(C37))+(C38))+(C39))+(C40))+(C41))+(C42))+(C43))+(C44))+(C45))+(C46))+(C47))+(C48))+(C49))+(C50))+(C51))+(C52))+(C53))+(C54))+(C55))+(C56))+(C57))+(C58))+(C59))+(C60))+(C61))+(C62))+(C63))+(C64))+(C65))+(C66))+(C67))+(C68))+(C69))+(C70))+(C71))+(C72))+(C73))+(C74))+(C75))+(C76))+(C77))+(C78))+(C79))+(C80))+(C81))+(C82))+(C83))+(C84))+(C85))+(C86))+(C87))+(C88))+(C89))+(C90))+(C91))+(C92))+(C93))+(C94))+(C95))+(C96))+(C97))+(C98))+(C99))+(C100))+(C101))+(C102))+(C103))+(C104))+(C105))+(C106))+(C107))+(C108))+(C109))+(C110))+(C111))+(C112))+(C113))+(C114))+(C115))+(C116))+(C117))+(C118))+(C119))+(C120))+(C121))+(C122))+(C123))+(C124))+(C125))+(C126))+(C127))+(C128))+(C129))+(C130))+(C131))+(C132))+(C133))+(C134))+(C135))+(C136))+(C137))+(C138))+(C139))+(C140))+(C141))+(C142)</f>
        <v>7406527.9500000011</v>
      </c>
    </row>
    <row r="144" spans="1:3" x14ac:dyDescent="0.3">
      <c r="A144" s="3"/>
      <c r="B144" s="4"/>
      <c r="C144" s="4"/>
    </row>
    <row r="147" spans="1:3" x14ac:dyDescent="0.3">
      <c r="A147" s="8" t="s">
        <v>384</v>
      </c>
      <c r="B147" s="9"/>
      <c r="C147" s="9"/>
    </row>
  </sheetData>
  <mergeCells count="4">
    <mergeCell ref="A1:C1"/>
    <mergeCell ref="A2:C2"/>
    <mergeCell ref="A3:C3"/>
    <mergeCell ref="A147:C1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DBA7-6F45-4280-9E84-DD170FE52CA4}">
  <dimension ref="A1:E27"/>
  <sheetViews>
    <sheetView workbookViewId="0">
      <selection sqref="A1:XFD1048576"/>
    </sheetView>
  </sheetViews>
  <sheetFormatPr defaultRowHeight="14.4" x14ac:dyDescent="0.3"/>
  <cols>
    <col min="1" max="1" width="3" style="23" customWidth="1"/>
    <col min="2" max="2" width="56.5546875" style="23" customWidth="1"/>
    <col min="3" max="3" width="9.109375" bestFit="1" customWidth="1"/>
    <col min="4" max="4" width="2.33203125" customWidth="1"/>
    <col min="5" max="5" width="9.109375" bestFit="1" customWidth="1"/>
  </cols>
  <sheetData>
    <row r="1" spans="1:5" ht="15" thickBot="1" x14ac:dyDescent="0.35">
      <c r="A1" s="12"/>
      <c r="B1" s="12"/>
      <c r="C1" s="13" t="s">
        <v>52</v>
      </c>
      <c r="D1" s="14"/>
      <c r="E1" s="15"/>
    </row>
    <row r="2" spans="1:5" s="19" customFormat="1" ht="15.6" thickTop="1" thickBot="1" x14ac:dyDescent="0.35">
      <c r="A2" s="16"/>
      <c r="B2" s="16"/>
      <c r="C2" s="17" t="s">
        <v>53</v>
      </c>
      <c r="D2" s="18"/>
      <c r="E2" s="17" t="s">
        <v>54</v>
      </c>
    </row>
    <row r="3" spans="1:5" ht="15" thickTop="1" x14ac:dyDescent="0.3">
      <c r="A3" s="12"/>
      <c r="B3" s="12" t="s">
        <v>55</v>
      </c>
      <c r="C3" s="20">
        <v>4950.1899999999996</v>
      </c>
      <c r="D3" s="21"/>
      <c r="E3" s="20"/>
    </row>
    <row r="4" spans="1:5" x14ac:dyDescent="0.3">
      <c r="A4" s="12"/>
      <c r="B4" s="12" t="s">
        <v>56</v>
      </c>
      <c r="C4" s="20">
        <v>20442.21</v>
      </c>
      <c r="D4" s="21"/>
      <c r="E4" s="20"/>
    </row>
    <row r="5" spans="1:5" x14ac:dyDescent="0.3">
      <c r="A5" s="12"/>
      <c r="B5" s="12" t="s">
        <v>57</v>
      </c>
      <c r="C5" s="20">
        <v>5138053.03</v>
      </c>
      <c r="D5" s="21"/>
      <c r="E5" s="20"/>
    </row>
    <row r="6" spans="1:5" x14ac:dyDescent="0.3">
      <c r="A6" s="12"/>
      <c r="B6" s="12" t="s">
        <v>58</v>
      </c>
      <c r="C6" s="20">
        <v>158222.63</v>
      </c>
      <c r="D6" s="21"/>
      <c r="E6" s="20"/>
    </row>
    <row r="7" spans="1:5" x14ac:dyDescent="0.3">
      <c r="A7" s="12"/>
      <c r="B7" s="12" t="s">
        <v>59</v>
      </c>
      <c r="C7" s="20"/>
      <c r="D7" s="21"/>
      <c r="E7" s="20">
        <v>113408</v>
      </c>
    </row>
    <row r="8" spans="1:5" x14ac:dyDescent="0.3">
      <c r="A8" s="12"/>
      <c r="B8" s="12" t="s">
        <v>60</v>
      </c>
      <c r="C8" s="20">
        <v>148609.09</v>
      </c>
      <c r="D8" s="21"/>
      <c r="E8" s="20"/>
    </row>
    <row r="9" spans="1:5" x14ac:dyDescent="0.3">
      <c r="A9" s="12"/>
      <c r="B9" s="12" t="s">
        <v>61</v>
      </c>
      <c r="C9" s="20"/>
      <c r="D9" s="21"/>
      <c r="E9" s="20">
        <v>1364077</v>
      </c>
    </row>
    <row r="10" spans="1:5" x14ac:dyDescent="0.3">
      <c r="A10" s="12"/>
      <c r="B10" s="12" t="s">
        <v>62</v>
      </c>
      <c r="C10" s="20">
        <v>397874.67</v>
      </c>
      <c r="D10" s="21"/>
      <c r="E10" s="20"/>
    </row>
    <row r="11" spans="1:5" x14ac:dyDescent="0.3">
      <c r="A11" s="12"/>
      <c r="B11" s="12" t="s">
        <v>63</v>
      </c>
      <c r="C11" s="20">
        <v>42000</v>
      </c>
      <c r="D11" s="21"/>
      <c r="E11" s="20"/>
    </row>
    <row r="12" spans="1:5" x14ac:dyDescent="0.3">
      <c r="A12" s="12"/>
      <c r="B12" s="12" t="s">
        <v>64</v>
      </c>
      <c r="C12" s="20">
        <v>108505.2</v>
      </c>
      <c r="D12" s="21"/>
      <c r="E12" s="20"/>
    </row>
    <row r="13" spans="1:5" x14ac:dyDescent="0.3">
      <c r="A13" s="12"/>
      <c r="B13" s="12" t="s">
        <v>65</v>
      </c>
      <c r="C13" s="20">
        <v>912337</v>
      </c>
      <c r="D13" s="21"/>
      <c r="E13" s="20"/>
    </row>
    <row r="14" spans="1:5" x14ac:dyDescent="0.3">
      <c r="A14" s="12"/>
      <c r="B14" s="12" t="s">
        <v>66</v>
      </c>
      <c r="C14" s="20"/>
      <c r="D14" s="21"/>
      <c r="E14" s="20">
        <v>912337</v>
      </c>
    </row>
    <row r="15" spans="1:5" x14ac:dyDescent="0.3">
      <c r="A15" s="12"/>
      <c r="B15" s="12" t="s">
        <v>67</v>
      </c>
      <c r="C15" s="20"/>
      <c r="D15" s="21"/>
      <c r="E15" s="20">
        <v>5506264.6399999997</v>
      </c>
    </row>
    <row r="16" spans="1:5" x14ac:dyDescent="0.3">
      <c r="A16" s="12"/>
      <c r="B16" s="12" t="s">
        <v>68</v>
      </c>
      <c r="C16" s="20">
        <v>288094.93</v>
      </c>
      <c r="D16" s="21"/>
      <c r="E16" s="20"/>
    </row>
    <row r="17" spans="1:5" x14ac:dyDescent="0.3">
      <c r="A17" s="12"/>
      <c r="B17" s="12" t="s">
        <v>69</v>
      </c>
      <c r="C17" s="20"/>
      <c r="D17" s="21"/>
      <c r="E17" s="20">
        <v>35843.11</v>
      </c>
    </row>
    <row r="18" spans="1:5" x14ac:dyDescent="0.3">
      <c r="A18" s="12"/>
      <c r="B18" s="12" t="s">
        <v>70</v>
      </c>
      <c r="C18" s="20"/>
      <c r="D18" s="21"/>
      <c r="E18" s="20">
        <v>287258.15000000002</v>
      </c>
    </row>
    <row r="19" spans="1:5" x14ac:dyDescent="0.3">
      <c r="A19" s="12"/>
      <c r="B19" s="12" t="s">
        <v>71</v>
      </c>
      <c r="C19" s="20">
        <v>8000.06</v>
      </c>
      <c r="D19" s="21"/>
      <c r="E19" s="20"/>
    </row>
    <row r="20" spans="1:5" x14ac:dyDescent="0.3">
      <c r="A20" s="12"/>
      <c r="B20" s="12" t="s">
        <v>72</v>
      </c>
      <c r="C20" s="20">
        <v>184693.96</v>
      </c>
      <c r="D20" s="21"/>
      <c r="E20" s="20"/>
    </row>
    <row r="21" spans="1:5" x14ac:dyDescent="0.3">
      <c r="A21" s="12"/>
      <c r="B21" s="12" t="s">
        <v>73</v>
      </c>
      <c r="C21" s="20">
        <v>120913</v>
      </c>
      <c r="D21" s="21"/>
      <c r="E21" s="20"/>
    </row>
    <row r="22" spans="1:5" x14ac:dyDescent="0.3">
      <c r="A22" s="12"/>
      <c r="B22" s="12" t="s">
        <v>74</v>
      </c>
      <c r="C22" s="20"/>
      <c r="D22" s="21"/>
      <c r="E22" s="20">
        <v>125261.15</v>
      </c>
    </row>
    <row r="23" spans="1:5" x14ac:dyDescent="0.3">
      <c r="A23" s="12"/>
      <c r="B23" s="12" t="s">
        <v>75</v>
      </c>
      <c r="C23" s="20">
        <v>852102.99</v>
      </c>
      <c r="D23" s="21"/>
      <c r="E23" s="20"/>
    </row>
    <row r="24" spans="1:5" x14ac:dyDescent="0.3">
      <c r="A24" s="12"/>
      <c r="B24" s="12" t="s">
        <v>76</v>
      </c>
      <c r="C24" s="20"/>
      <c r="D24" s="21"/>
      <c r="E24" s="20">
        <v>173280.2</v>
      </c>
    </row>
    <row r="25" spans="1:5" ht="15" thickBot="1" x14ac:dyDescent="0.35">
      <c r="A25" s="12"/>
      <c r="B25" s="12" t="s">
        <v>77</v>
      </c>
      <c r="C25" s="20">
        <v>132930.29</v>
      </c>
      <c r="D25" s="21"/>
      <c r="E25" s="20"/>
    </row>
    <row r="26" spans="1:5" s="23" customFormat="1" ht="10.8" thickBot="1" x14ac:dyDescent="0.25">
      <c r="A26" s="12" t="s">
        <v>78</v>
      </c>
      <c r="B26" s="12"/>
      <c r="C26" s="22">
        <f>ROUND(SUM(C3:C25),5)</f>
        <v>8517729.25</v>
      </c>
      <c r="D26" s="12"/>
      <c r="E26" s="22">
        <f>ROUND(SUM(E3:E25),5)</f>
        <v>8517729.25</v>
      </c>
    </row>
    <row r="27" spans="1:5" ht="15" thickTop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0D7F-61D6-41CE-9515-491C331C48DF}">
  <dimension ref="A1:F45"/>
  <sheetViews>
    <sheetView workbookViewId="0">
      <selection sqref="A1:XFD1048576"/>
    </sheetView>
  </sheetViews>
  <sheetFormatPr defaultRowHeight="14.4" x14ac:dyDescent="0.3"/>
  <cols>
    <col min="1" max="4" width="3" style="23" customWidth="1"/>
    <col min="5" max="5" width="25.77734375" style="23" customWidth="1"/>
    <col min="6" max="6" width="9.5546875" bestFit="1" customWidth="1"/>
  </cols>
  <sheetData>
    <row r="1" spans="1:6" s="19" customFormat="1" ht="15" thickBot="1" x14ac:dyDescent="0.35">
      <c r="A1" s="16"/>
      <c r="B1" s="16"/>
      <c r="C1" s="16"/>
      <c r="D1" s="16"/>
      <c r="E1" s="16"/>
      <c r="F1" s="26" t="s">
        <v>52</v>
      </c>
    </row>
    <row r="2" spans="1:6" ht="15" thickTop="1" x14ac:dyDescent="0.3">
      <c r="A2" s="12" t="s">
        <v>1</v>
      </c>
      <c r="B2" s="12"/>
      <c r="C2" s="12"/>
      <c r="D2" s="12"/>
      <c r="E2" s="12"/>
      <c r="F2" s="20"/>
    </row>
    <row r="3" spans="1:6" x14ac:dyDescent="0.3">
      <c r="A3" s="12"/>
      <c r="B3" s="12" t="s">
        <v>385</v>
      </c>
      <c r="C3" s="12"/>
      <c r="D3" s="12"/>
      <c r="E3" s="12"/>
      <c r="F3" s="20"/>
    </row>
    <row r="4" spans="1:6" x14ac:dyDescent="0.3">
      <c r="A4" s="12"/>
      <c r="B4" s="12"/>
      <c r="C4" s="12" t="s">
        <v>386</v>
      </c>
      <c r="D4" s="12"/>
      <c r="E4" s="12"/>
      <c r="F4" s="20"/>
    </row>
    <row r="5" spans="1:6" x14ac:dyDescent="0.3">
      <c r="A5" s="12"/>
      <c r="B5" s="12"/>
      <c r="C5" s="12"/>
      <c r="D5" s="12" t="s">
        <v>387</v>
      </c>
      <c r="E5" s="12"/>
      <c r="F5" s="20"/>
    </row>
    <row r="6" spans="1:6" x14ac:dyDescent="0.3">
      <c r="A6" s="12"/>
      <c r="B6" s="12"/>
      <c r="C6" s="12"/>
      <c r="D6" s="12"/>
      <c r="E6" s="12" t="s">
        <v>388</v>
      </c>
      <c r="F6" s="20">
        <v>4950.1899999999996</v>
      </c>
    </row>
    <row r="7" spans="1:6" ht="15" thickBot="1" x14ac:dyDescent="0.35">
      <c r="A7" s="12"/>
      <c r="B7" s="12"/>
      <c r="C7" s="12"/>
      <c r="D7" s="12"/>
      <c r="E7" s="12" t="s">
        <v>389</v>
      </c>
      <c r="F7" s="20">
        <v>20442.21</v>
      </c>
    </row>
    <row r="8" spans="1:6" ht="15" thickBot="1" x14ac:dyDescent="0.35">
      <c r="A8" s="12"/>
      <c r="B8" s="12"/>
      <c r="C8" s="12"/>
      <c r="D8" s="12" t="s">
        <v>390</v>
      </c>
      <c r="E8" s="12"/>
      <c r="F8" s="27">
        <f>ROUND(SUM(F5:F7),5)</f>
        <v>25392.400000000001</v>
      </c>
    </row>
    <row r="9" spans="1:6" ht="15" thickBot="1" x14ac:dyDescent="0.35">
      <c r="A9" s="12"/>
      <c r="B9" s="12"/>
      <c r="C9" s="12" t="s">
        <v>391</v>
      </c>
      <c r="D9" s="12"/>
      <c r="E9" s="12"/>
      <c r="F9" s="28">
        <f>ROUND(F4+F8,5)</f>
        <v>25392.400000000001</v>
      </c>
    </row>
    <row r="10" spans="1:6" x14ac:dyDescent="0.3">
      <c r="A10" s="12"/>
      <c r="B10" s="12" t="s">
        <v>392</v>
      </c>
      <c r="C10" s="12"/>
      <c r="D10" s="12"/>
      <c r="E10" s="12"/>
      <c r="F10" s="20">
        <f>ROUND(F3+F9,5)</f>
        <v>25392.400000000001</v>
      </c>
    </row>
    <row r="11" spans="1:6" x14ac:dyDescent="0.3">
      <c r="A11" s="12"/>
      <c r="B11" s="12" t="s">
        <v>393</v>
      </c>
      <c r="C11" s="12"/>
      <c r="D11" s="12"/>
      <c r="E11" s="12"/>
      <c r="F11" s="20"/>
    </row>
    <row r="12" spans="1:6" x14ac:dyDescent="0.3">
      <c r="A12" s="12"/>
      <c r="B12" s="12"/>
      <c r="C12" s="12" t="s">
        <v>394</v>
      </c>
      <c r="D12" s="12"/>
      <c r="E12" s="12"/>
      <c r="F12" s="20"/>
    </row>
    <row r="13" spans="1:6" x14ac:dyDescent="0.3">
      <c r="A13" s="12"/>
      <c r="B13" s="12"/>
      <c r="C13" s="12"/>
      <c r="D13" s="12" t="s">
        <v>395</v>
      </c>
      <c r="E13" s="12"/>
      <c r="F13" s="20"/>
    </row>
    <row r="14" spans="1:6" x14ac:dyDescent="0.3">
      <c r="A14" s="12"/>
      <c r="B14" s="12"/>
      <c r="C14" s="12"/>
      <c r="D14" s="12"/>
      <c r="E14" s="12" t="s">
        <v>396</v>
      </c>
      <c r="F14" s="20">
        <v>5138053.03</v>
      </c>
    </row>
    <row r="15" spans="1:6" x14ac:dyDescent="0.3">
      <c r="A15" s="12"/>
      <c r="B15" s="12"/>
      <c r="C15" s="12"/>
      <c r="D15" s="12"/>
      <c r="E15" s="12" t="s">
        <v>397</v>
      </c>
      <c r="F15" s="20">
        <v>158222.63</v>
      </c>
    </row>
    <row r="16" spans="1:6" x14ac:dyDescent="0.3">
      <c r="A16" s="12"/>
      <c r="B16" s="12"/>
      <c r="C16" s="12"/>
      <c r="D16" s="12"/>
      <c r="E16" s="12" t="s">
        <v>398</v>
      </c>
      <c r="F16" s="20">
        <v>-113408</v>
      </c>
    </row>
    <row r="17" spans="1:6" x14ac:dyDescent="0.3">
      <c r="A17" s="12"/>
      <c r="B17" s="12"/>
      <c r="C17" s="12"/>
      <c r="D17" s="12"/>
      <c r="E17" s="12" t="s">
        <v>399</v>
      </c>
      <c r="F17" s="20">
        <v>148609.09</v>
      </c>
    </row>
    <row r="18" spans="1:6" ht="15" thickBot="1" x14ac:dyDescent="0.35">
      <c r="A18" s="12"/>
      <c r="B18" s="12"/>
      <c r="C18" s="12"/>
      <c r="D18" s="12"/>
      <c r="E18" s="12" t="s">
        <v>400</v>
      </c>
      <c r="F18" s="29">
        <v>-1364077</v>
      </c>
    </row>
    <row r="19" spans="1:6" x14ac:dyDescent="0.3">
      <c r="A19" s="12"/>
      <c r="B19" s="12"/>
      <c r="C19" s="12"/>
      <c r="D19" s="12" t="s">
        <v>401</v>
      </c>
      <c r="E19" s="12"/>
      <c r="F19" s="20">
        <f>ROUND(SUM(F13:F18),5)</f>
        <v>3967399.75</v>
      </c>
    </row>
    <row r="20" spans="1:6" x14ac:dyDescent="0.3">
      <c r="A20" s="12"/>
      <c r="B20" s="12"/>
      <c r="C20" s="12"/>
      <c r="D20" s="12" t="s">
        <v>402</v>
      </c>
      <c r="E20" s="12"/>
      <c r="F20" s="20"/>
    </row>
    <row r="21" spans="1:6" x14ac:dyDescent="0.3">
      <c r="A21" s="12"/>
      <c r="B21" s="12"/>
      <c r="C21" s="12"/>
      <c r="D21" s="12"/>
      <c r="E21" s="12" t="s">
        <v>403</v>
      </c>
      <c r="F21" s="20">
        <v>397874.67</v>
      </c>
    </row>
    <row r="22" spans="1:6" x14ac:dyDescent="0.3">
      <c r="A22" s="12"/>
      <c r="B22" s="12"/>
      <c r="C22" s="12"/>
      <c r="D22" s="12"/>
      <c r="E22" s="12" t="s">
        <v>404</v>
      </c>
      <c r="F22" s="20">
        <v>42000</v>
      </c>
    </row>
    <row r="23" spans="1:6" ht="15" thickBot="1" x14ac:dyDescent="0.35">
      <c r="A23" s="12"/>
      <c r="B23" s="12"/>
      <c r="C23" s="12"/>
      <c r="D23" s="12"/>
      <c r="E23" s="12" t="s">
        <v>405</v>
      </c>
      <c r="F23" s="20">
        <v>108505.2</v>
      </c>
    </row>
    <row r="24" spans="1:6" ht="15" thickBot="1" x14ac:dyDescent="0.35">
      <c r="A24" s="12"/>
      <c r="B24" s="12"/>
      <c r="C24" s="12"/>
      <c r="D24" s="12" t="s">
        <v>406</v>
      </c>
      <c r="E24" s="12"/>
      <c r="F24" s="27">
        <f>ROUND(SUM(F20:F23),5)</f>
        <v>548379.87</v>
      </c>
    </row>
    <row r="25" spans="1:6" ht="15" thickBot="1" x14ac:dyDescent="0.35">
      <c r="A25" s="12"/>
      <c r="B25" s="12"/>
      <c r="C25" s="12" t="s">
        <v>407</v>
      </c>
      <c r="D25" s="12"/>
      <c r="E25" s="12"/>
      <c r="F25" s="28">
        <f>ROUND(F12+F19+F24,5)</f>
        <v>4515779.62</v>
      </c>
    </row>
    <row r="26" spans="1:6" x14ac:dyDescent="0.3">
      <c r="A26" s="12"/>
      <c r="B26" s="12" t="s">
        <v>408</v>
      </c>
      <c r="C26" s="12"/>
      <c r="D26" s="12"/>
      <c r="E26" s="12"/>
      <c r="F26" s="20">
        <f>ROUND(F11+F25,5)</f>
        <v>4515779.62</v>
      </c>
    </row>
    <row r="27" spans="1:6" x14ac:dyDescent="0.3">
      <c r="A27" s="12"/>
      <c r="B27" s="12" t="s">
        <v>409</v>
      </c>
      <c r="C27" s="12"/>
      <c r="D27" s="12"/>
      <c r="E27" s="12"/>
      <c r="F27" s="20"/>
    </row>
    <row r="28" spans="1:6" x14ac:dyDescent="0.3">
      <c r="A28" s="12"/>
      <c r="B28" s="12"/>
      <c r="C28" s="12" t="s">
        <v>65</v>
      </c>
      <c r="D28" s="12"/>
      <c r="E28" s="12"/>
      <c r="F28" s="20"/>
    </row>
    <row r="29" spans="1:6" x14ac:dyDescent="0.3">
      <c r="A29" s="12"/>
      <c r="B29" s="12"/>
      <c r="C29" s="12"/>
      <c r="D29" s="12" t="s">
        <v>410</v>
      </c>
      <c r="E29" s="12"/>
      <c r="F29" s="20">
        <v>-912337</v>
      </c>
    </row>
    <row r="30" spans="1:6" ht="15" thickBot="1" x14ac:dyDescent="0.35">
      <c r="A30" s="12"/>
      <c r="B30" s="12"/>
      <c r="C30" s="12"/>
      <c r="D30" s="12" t="s">
        <v>411</v>
      </c>
      <c r="E30" s="12"/>
      <c r="F30" s="20">
        <v>912337</v>
      </c>
    </row>
    <row r="31" spans="1:6" ht="15" thickBot="1" x14ac:dyDescent="0.35">
      <c r="A31" s="12"/>
      <c r="B31" s="12"/>
      <c r="C31" s="12" t="s">
        <v>412</v>
      </c>
      <c r="D31" s="12"/>
      <c r="E31" s="12"/>
      <c r="F31" s="27">
        <f>ROUND(SUM(F28:F30),5)</f>
        <v>0</v>
      </c>
    </row>
    <row r="32" spans="1:6" ht="15" thickBot="1" x14ac:dyDescent="0.35">
      <c r="A32" s="12"/>
      <c r="B32" s="12" t="s">
        <v>413</v>
      </c>
      <c r="C32" s="12"/>
      <c r="D32" s="12"/>
      <c r="E32" s="12"/>
      <c r="F32" s="27">
        <f>ROUND(F27+F31,5)</f>
        <v>0</v>
      </c>
    </row>
    <row r="33" spans="1:6" s="23" customFormat="1" ht="10.8" thickBot="1" x14ac:dyDescent="0.25">
      <c r="A33" s="12" t="s">
        <v>17</v>
      </c>
      <c r="B33" s="12"/>
      <c r="C33" s="12"/>
      <c r="D33" s="12"/>
      <c r="E33" s="12"/>
      <c r="F33" s="22">
        <f>ROUND(F2+F10+F26+F32,5)</f>
        <v>4541172.0199999996</v>
      </c>
    </row>
    <row r="34" spans="1:6" ht="15" thickTop="1" x14ac:dyDescent="0.3">
      <c r="A34" s="12" t="s">
        <v>414</v>
      </c>
      <c r="B34" s="12"/>
      <c r="C34" s="12"/>
      <c r="D34" s="12"/>
      <c r="E34" s="12"/>
      <c r="F34" s="20"/>
    </row>
    <row r="35" spans="1:6" x14ac:dyDescent="0.3">
      <c r="A35" s="12"/>
      <c r="B35" s="12" t="s">
        <v>415</v>
      </c>
      <c r="C35" s="12"/>
      <c r="D35" s="12"/>
      <c r="E35" s="12"/>
      <c r="F35" s="20"/>
    </row>
    <row r="36" spans="1:6" x14ac:dyDescent="0.3">
      <c r="A36" s="12"/>
      <c r="B36" s="12"/>
      <c r="C36" s="12" t="s">
        <v>416</v>
      </c>
      <c r="D36" s="12"/>
      <c r="E36" s="12"/>
      <c r="F36" s="20"/>
    </row>
    <row r="37" spans="1:6" ht="15" thickBot="1" x14ac:dyDescent="0.35">
      <c r="A37" s="12"/>
      <c r="B37" s="12"/>
      <c r="C37" s="12"/>
      <c r="D37" s="12" t="s">
        <v>67</v>
      </c>
      <c r="E37" s="12"/>
      <c r="F37" s="20">
        <v>5506264.6399999997</v>
      </c>
    </row>
    <row r="38" spans="1:6" ht="15" thickBot="1" x14ac:dyDescent="0.35">
      <c r="A38" s="12"/>
      <c r="B38" s="12"/>
      <c r="C38" s="12" t="s">
        <v>417</v>
      </c>
      <c r="D38" s="12"/>
      <c r="E38" s="12"/>
      <c r="F38" s="28">
        <f>ROUND(SUM(F36:F37),5)</f>
        <v>5506264.6399999997</v>
      </c>
    </row>
    <row r="39" spans="1:6" x14ac:dyDescent="0.3">
      <c r="A39" s="12"/>
      <c r="B39" s="12" t="s">
        <v>418</v>
      </c>
      <c r="C39" s="12"/>
      <c r="D39" s="12"/>
      <c r="E39" s="12"/>
      <c r="F39" s="20">
        <f>ROUND(F35+F38,5)</f>
        <v>5506264.6399999997</v>
      </c>
    </row>
    <row r="40" spans="1:6" x14ac:dyDescent="0.3">
      <c r="A40" s="12"/>
      <c r="B40" s="12" t="s">
        <v>419</v>
      </c>
      <c r="C40" s="12"/>
      <c r="D40" s="12"/>
      <c r="E40" s="12"/>
      <c r="F40" s="20"/>
    </row>
    <row r="41" spans="1:6" x14ac:dyDescent="0.3">
      <c r="A41" s="12"/>
      <c r="B41" s="12"/>
      <c r="C41" s="12" t="s">
        <v>68</v>
      </c>
      <c r="D41" s="12"/>
      <c r="E41" s="12"/>
      <c r="F41" s="20">
        <v>-288094.93</v>
      </c>
    </row>
    <row r="42" spans="1:6" ht="15" thickBot="1" x14ac:dyDescent="0.35">
      <c r="A42" s="12"/>
      <c r="B42" s="12"/>
      <c r="C42" s="12" t="s">
        <v>420</v>
      </c>
      <c r="D42" s="12"/>
      <c r="E42" s="12"/>
      <c r="F42" s="20">
        <v>-676997.69</v>
      </c>
    </row>
    <row r="43" spans="1:6" ht="15" thickBot="1" x14ac:dyDescent="0.35">
      <c r="A43" s="12"/>
      <c r="B43" s="12" t="s">
        <v>421</v>
      </c>
      <c r="C43" s="12"/>
      <c r="D43" s="12"/>
      <c r="E43" s="12"/>
      <c r="F43" s="27">
        <f>ROUND(SUM(F40:F42),5)</f>
        <v>-965092.62</v>
      </c>
    </row>
    <row r="44" spans="1:6" s="23" customFormat="1" ht="10.8" thickBot="1" x14ac:dyDescent="0.25">
      <c r="A44" s="12" t="s">
        <v>422</v>
      </c>
      <c r="B44" s="12"/>
      <c r="C44" s="12"/>
      <c r="D44" s="12"/>
      <c r="E44" s="12"/>
      <c r="F44" s="22">
        <f>ROUND(F34+F39+F43,5)</f>
        <v>4541172.0199999996</v>
      </c>
    </row>
    <row r="45" spans="1:6" ht="15" thickTop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839F-2494-4178-BF89-9762AC9B769E}">
  <dimension ref="A1:F45"/>
  <sheetViews>
    <sheetView tabSelected="1" workbookViewId="0">
      <selection sqref="A1:XFD1048576"/>
    </sheetView>
  </sheetViews>
  <sheetFormatPr defaultRowHeight="14.4" x14ac:dyDescent="0.3"/>
  <cols>
    <col min="1" max="4" width="3" style="23" customWidth="1"/>
    <col min="5" max="5" width="25.77734375" style="23" customWidth="1"/>
    <col min="6" max="6" width="9.5546875" bestFit="1" customWidth="1"/>
  </cols>
  <sheetData>
    <row r="1" spans="1:6" s="19" customFormat="1" ht="15" thickBot="1" x14ac:dyDescent="0.35">
      <c r="A1" s="16"/>
      <c r="B1" s="16"/>
      <c r="C1" s="16"/>
      <c r="D1" s="16"/>
      <c r="E1" s="16"/>
      <c r="F1" s="26" t="s">
        <v>52</v>
      </c>
    </row>
    <row r="2" spans="1:6" ht="15" thickTop="1" x14ac:dyDescent="0.3">
      <c r="A2" s="12" t="s">
        <v>1</v>
      </c>
      <c r="B2" s="12"/>
      <c r="C2" s="12"/>
      <c r="D2" s="12"/>
      <c r="E2" s="12"/>
      <c r="F2" s="20"/>
    </row>
    <row r="3" spans="1:6" x14ac:dyDescent="0.3">
      <c r="A3" s="12"/>
      <c r="B3" s="12" t="s">
        <v>385</v>
      </c>
      <c r="C3" s="12"/>
      <c r="D3" s="12"/>
      <c r="E3" s="12"/>
      <c r="F3" s="20"/>
    </row>
    <row r="4" spans="1:6" x14ac:dyDescent="0.3">
      <c r="A4" s="12"/>
      <c r="B4" s="12"/>
      <c r="C4" s="12" t="s">
        <v>386</v>
      </c>
      <c r="D4" s="12"/>
      <c r="E4" s="12"/>
      <c r="F4" s="20"/>
    </row>
    <row r="5" spans="1:6" x14ac:dyDescent="0.3">
      <c r="A5" s="12"/>
      <c r="B5" s="12"/>
      <c r="C5" s="12"/>
      <c r="D5" s="12" t="s">
        <v>387</v>
      </c>
      <c r="E5" s="12"/>
      <c r="F5" s="20"/>
    </row>
    <row r="6" spans="1:6" x14ac:dyDescent="0.3">
      <c r="A6" s="12"/>
      <c r="B6" s="12"/>
      <c r="C6" s="12"/>
      <c r="D6" s="12"/>
      <c r="E6" s="12" t="s">
        <v>388</v>
      </c>
      <c r="F6" s="20">
        <v>4950.1899999999996</v>
      </c>
    </row>
    <row r="7" spans="1:6" ht="15" thickBot="1" x14ac:dyDescent="0.35">
      <c r="A7" s="12"/>
      <c r="B7" s="12"/>
      <c r="C7" s="12"/>
      <c r="D7" s="12"/>
      <c r="E7" s="12" t="s">
        <v>389</v>
      </c>
      <c r="F7" s="20">
        <v>20442.21</v>
      </c>
    </row>
    <row r="8" spans="1:6" ht="15" thickBot="1" x14ac:dyDescent="0.35">
      <c r="A8" s="12"/>
      <c r="B8" s="12"/>
      <c r="C8" s="12"/>
      <c r="D8" s="12" t="s">
        <v>390</v>
      </c>
      <c r="E8" s="12"/>
      <c r="F8" s="27">
        <f>ROUND(SUM(F5:F7),5)</f>
        <v>25392.400000000001</v>
      </c>
    </row>
    <row r="9" spans="1:6" ht="15" thickBot="1" x14ac:dyDescent="0.35">
      <c r="A9" s="12"/>
      <c r="B9" s="12"/>
      <c r="C9" s="12" t="s">
        <v>391</v>
      </c>
      <c r="D9" s="12"/>
      <c r="E9" s="12"/>
      <c r="F9" s="28">
        <f>ROUND(F4+F8,5)</f>
        <v>25392.400000000001</v>
      </c>
    </row>
    <row r="10" spans="1:6" x14ac:dyDescent="0.3">
      <c r="A10" s="12"/>
      <c r="B10" s="12" t="s">
        <v>392</v>
      </c>
      <c r="C10" s="12"/>
      <c r="D10" s="12"/>
      <c r="E10" s="12"/>
      <c r="F10" s="20">
        <f>ROUND(F3+F9,5)</f>
        <v>25392.400000000001</v>
      </c>
    </row>
    <row r="11" spans="1:6" x14ac:dyDescent="0.3">
      <c r="A11" s="12"/>
      <c r="B11" s="12" t="s">
        <v>393</v>
      </c>
      <c r="C11" s="12"/>
      <c r="D11" s="12"/>
      <c r="E11" s="12"/>
      <c r="F11" s="20"/>
    </row>
    <row r="12" spans="1:6" x14ac:dyDescent="0.3">
      <c r="A12" s="12"/>
      <c r="B12" s="12"/>
      <c r="C12" s="12" t="s">
        <v>394</v>
      </c>
      <c r="D12" s="12"/>
      <c r="E12" s="12"/>
      <c r="F12" s="20"/>
    </row>
    <row r="13" spans="1:6" x14ac:dyDescent="0.3">
      <c r="A13" s="12"/>
      <c r="B13" s="12"/>
      <c r="C13" s="12"/>
      <c r="D13" s="12" t="s">
        <v>395</v>
      </c>
      <c r="E13" s="12"/>
      <c r="F13" s="20"/>
    </row>
    <row r="14" spans="1:6" x14ac:dyDescent="0.3">
      <c r="A14" s="12"/>
      <c r="B14" s="12"/>
      <c r="C14" s="12"/>
      <c r="D14" s="12"/>
      <c r="E14" s="12" t="s">
        <v>396</v>
      </c>
      <c r="F14" s="20">
        <v>5138053.03</v>
      </c>
    </row>
    <row r="15" spans="1:6" x14ac:dyDescent="0.3">
      <c r="A15" s="12"/>
      <c r="B15" s="12"/>
      <c r="C15" s="12"/>
      <c r="D15" s="12"/>
      <c r="E15" s="12" t="s">
        <v>397</v>
      </c>
      <c r="F15" s="20">
        <v>158222.63</v>
      </c>
    </row>
    <row r="16" spans="1:6" x14ac:dyDescent="0.3">
      <c r="A16" s="12"/>
      <c r="B16" s="12"/>
      <c r="C16" s="12"/>
      <c r="D16" s="12"/>
      <c r="E16" s="12" t="s">
        <v>398</v>
      </c>
      <c r="F16" s="20">
        <v>-113408</v>
      </c>
    </row>
    <row r="17" spans="1:6" x14ac:dyDescent="0.3">
      <c r="A17" s="12"/>
      <c r="B17" s="12"/>
      <c r="C17" s="12"/>
      <c r="D17" s="12"/>
      <c r="E17" s="12" t="s">
        <v>399</v>
      </c>
      <c r="F17" s="20">
        <v>148609.09</v>
      </c>
    </row>
    <row r="18" spans="1:6" ht="15" thickBot="1" x14ac:dyDescent="0.35">
      <c r="A18" s="12"/>
      <c r="B18" s="12"/>
      <c r="C18" s="12"/>
      <c r="D18" s="12"/>
      <c r="E18" s="12" t="s">
        <v>400</v>
      </c>
      <c r="F18" s="29">
        <v>-1364077</v>
      </c>
    </row>
    <row r="19" spans="1:6" x14ac:dyDescent="0.3">
      <c r="A19" s="12"/>
      <c r="B19" s="12"/>
      <c r="C19" s="12"/>
      <c r="D19" s="12" t="s">
        <v>401</v>
      </c>
      <c r="E19" s="12"/>
      <c r="F19" s="20">
        <f>ROUND(SUM(F13:F18),5)</f>
        <v>3967399.75</v>
      </c>
    </row>
    <row r="20" spans="1:6" x14ac:dyDescent="0.3">
      <c r="A20" s="12"/>
      <c r="B20" s="12"/>
      <c r="C20" s="12"/>
      <c r="D20" s="12" t="s">
        <v>402</v>
      </c>
      <c r="E20" s="12"/>
      <c r="F20" s="20"/>
    </row>
    <row r="21" spans="1:6" x14ac:dyDescent="0.3">
      <c r="A21" s="12"/>
      <c r="B21" s="12"/>
      <c r="C21" s="12"/>
      <c r="D21" s="12"/>
      <c r="E21" s="12" t="s">
        <v>403</v>
      </c>
      <c r="F21" s="20">
        <v>397874.67</v>
      </c>
    </row>
    <row r="22" spans="1:6" x14ac:dyDescent="0.3">
      <c r="A22" s="12"/>
      <c r="B22" s="12"/>
      <c r="C22" s="12"/>
      <c r="D22" s="12"/>
      <c r="E22" s="12" t="s">
        <v>404</v>
      </c>
      <c r="F22" s="20">
        <v>42000</v>
      </c>
    </row>
    <row r="23" spans="1:6" ht="15" thickBot="1" x14ac:dyDescent="0.35">
      <c r="A23" s="12"/>
      <c r="B23" s="12"/>
      <c r="C23" s="12"/>
      <c r="D23" s="12"/>
      <c r="E23" s="12" t="s">
        <v>405</v>
      </c>
      <c r="F23" s="20">
        <v>108505.2</v>
      </c>
    </row>
    <row r="24" spans="1:6" ht="15" thickBot="1" x14ac:dyDescent="0.35">
      <c r="A24" s="12"/>
      <c r="B24" s="12"/>
      <c r="C24" s="12"/>
      <c r="D24" s="12" t="s">
        <v>406</v>
      </c>
      <c r="E24" s="12"/>
      <c r="F24" s="27">
        <f>ROUND(SUM(F20:F23),5)</f>
        <v>548379.87</v>
      </c>
    </row>
    <row r="25" spans="1:6" ht="15" thickBot="1" x14ac:dyDescent="0.35">
      <c r="A25" s="12"/>
      <c r="B25" s="12"/>
      <c r="C25" s="12" t="s">
        <v>407</v>
      </c>
      <c r="D25" s="12"/>
      <c r="E25" s="12"/>
      <c r="F25" s="28">
        <f>ROUND(F12+F19+F24,5)</f>
        <v>4515779.62</v>
      </c>
    </row>
    <row r="26" spans="1:6" x14ac:dyDescent="0.3">
      <c r="A26" s="12"/>
      <c r="B26" s="12" t="s">
        <v>408</v>
      </c>
      <c r="C26" s="12"/>
      <c r="D26" s="12"/>
      <c r="E26" s="12"/>
      <c r="F26" s="20">
        <f>ROUND(F11+F25,5)</f>
        <v>4515779.62</v>
      </c>
    </row>
    <row r="27" spans="1:6" x14ac:dyDescent="0.3">
      <c r="A27" s="12"/>
      <c r="B27" s="12" t="s">
        <v>409</v>
      </c>
      <c r="C27" s="12"/>
      <c r="D27" s="12"/>
      <c r="E27" s="12"/>
      <c r="F27" s="20"/>
    </row>
    <row r="28" spans="1:6" x14ac:dyDescent="0.3">
      <c r="A28" s="12"/>
      <c r="B28" s="12"/>
      <c r="C28" s="12" t="s">
        <v>65</v>
      </c>
      <c r="D28" s="12"/>
      <c r="E28" s="12"/>
      <c r="F28" s="20"/>
    </row>
    <row r="29" spans="1:6" x14ac:dyDescent="0.3">
      <c r="A29" s="12"/>
      <c r="B29" s="12"/>
      <c r="C29" s="12"/>
      <c r="D29" s="12" t="s">
        <v>410</v>
      </c>
      <c r="E29" s="12"/>
      <c r="F29" s="20">
        <v>-912337</v>
      </c>
    </row>
    <row r="30" spans="1:6" ht="15" thickBot="1" x14ac:dyDescent="0.35">
      <c r="A30" s="12"/>
      <c r="B30" s="12"/>
      <c r="C30" s="12"/>
      <c r="D30" s="12" t="s">
        <v>411</v>
      </c>
      <c r="E30" s="12"/>
      <c r="F30" s="20">
        <v>912337</v>
      </c>
    </row>
    <row r="31" spans="1:6" ht="15" thickBot="1" x14ac:dyDescent="0.35">
      <c r="A31" s="12"/>
      <c r="B31" s="12"/>
      <c r="C31" s="12" t="s">
        <v>412</v>
      </c>
      <c r="D31" s="12"/>
      <c r="E31" s="12"/>
      <c r="F31" s="27">
        <f>ROUND(SUM(F28:F30),5)</f>
        <v>0</v>
      </c>
    </row>
    <row r="32" spans="1:6" ht="15" thickBot="1" x14ac:dyDescent="0.35">
      <c r="A32" s="12"/>
      <c r="B32" s="12" t="s">
        <v>413</v>
      </c>
      <c r="C32" s="12"/>
      <c r="D32" s="12"/>
      <c r="E32" s="12"/>
      <c r="F32" s="27">
        <f>ROUND(F27+F31,5)</f>
        <v>0</v>
      </c>
    </row>
    <row r="33" spans="1:6" s="23" customFormat="1" ht="10.8" thickBot="1" x14ac:dyDescent="0.25">
      <c r="A33" s="12" t="s">
        <v>17</v>
      </c>
      <c r="B33" s="12"/>
      <c r="C33" s="12"/>
      <c r="D33" s="12"/>
      <c r="E33" s="12"/>
      <c r="F33" s="22">
        <f>ROUND(F2+F10+F26+F32,5)</f>
        <v>4541172.0199999996</v>
      </c>
    </row>
    <row r="34" spans="1:6" ht="15" thickTop="1" x14ac:dyDescent="0.3">
      <c r="A34" s="12" t="s">
        <v>414</v>
      </c>
      <c r="B34" s="12"/>
      <c r="C34" s="12"/>
      <c r="D34" s="12"/>
      <c r="E34" s="12"/>
      <c r="F34" s="20"/>
    </row>
    <row r="35" spans="1:6" x14ac:dyDescent="0.3">
      <c r="A35" s="12"/>
      <c r="B35" s="12" t="s">
        <v>415</v>
      </c>
      <c r="C35" s="12"/>
      <c r="D35" s="12"/>
      <c r="E35" s="12"/>
      <c r="F35" s="20"/>
    </row>
    <row r="36" spans="1:6" x14ac:dyDescent="0.3">
      <c r="A36" s="12"/>
      <c r="B36" s="12"/>
      <c r="C36" s="12" t="s">
        <v>416</v>
      </c>
      <c r="D36" s="12"/>
      <c r="E36" s="12"/>
      <c r="F36" s="20"/>
    </row>
    <row r="37" spans="1:6" ht="15" thickBot="1" x14ac:dyDescent="0.35">
      <c r="A37" s="12"/>
      <c r="B37" s="12"/>
      <c r="C37" s="12"/>
      <c r="D37" s="12" t="s">
        <v>67</v>
      </c>
      <c r="E37" s="12"/>
      <c r="F37" s="20">
        <v>5506264.6399999997</v>
      </c>
    </row>
    <row r="38" spans="1:6" ht="15" thickBot="1" x14ac:dyDescent="0.35">
      <c r="A38" s="12"/>
      <c r="B38" s="12"/>
      <c r="C38" s="12" t="s">
        <v>417</v>
      </c>
      <c r="D38" s="12"/>
      <c r="E38" s="12"/>
      <c r="F38" s="28">
        <f>ROUND(SUM(F36:F37),5)</f>
        <v>5506264.6399999997</v>
      </c>
    </row>
    <row r="39" spans="1:6" x14ac:dyDescent="0.3">
      <c r="A39" s="12"/>
      <c r="B39" s="12" t="s">
        <v>418</v>
      </c>
      <c r="C39" s="12"/>
      <c r="D39" s="12"/>
      <c r="E39" s="12"/>
      <c r="F39" s="20">
        <f>ROUND(F35+F38,5)</f>
        <v>5506264.6399999997</v>
      </c>
    </row>
    <row r="40" spans="1:6" x14ac:dyDescent="0.3">
      <c r="A40" s="12"/>
      <c r="B40" s="12" t="s">
        <v>419</v>
      </c>
      <c r="C40" s="12"/>
      <c r="D40" s="12"/>
      <c r="E40" s="12"/>
      <c r="F40" s="20"/>
    </row>
    <row r="41" spans="1:6" x14ac:dyDescent="0.3">
      <c r="A41" s="12"/>
      <c r="B41" s="12"/>
      <c r="C41" s="12" t="s">
        <v>68</v>
      </c>
      <c r="D41" s="12"/>
      <c r="E41" s="12"/>
      <c r="F41" s="20">
        <v>-288094.93</v>
      </c>
    </row>
    <row r="42" spans="1:6" ht="15" thickBot="1" x14ac:dyDescent="0.35">
      <c r="A42" s="12"/>
      <c r="B42" s="12"/>
      <c r="C42" s="12" t="s">
        <v>420</v>
      </c>
      <c r="D42" s="12"/>
      <c r="E42" s="12"/>
      <c r="F42" s="20">
        <v>-676997.69</v>
      </c>
    </row>
    <row r="43" spans="1:6" ht="15" thickBot="1" x14ac:dyDescent="0.35">
      <c r="A43" s="12"/>
      <c r="B43" s="12" t="s">
        <v>421</v>
      </c>
      <c r="C43" s="12"/>
      <c r="D43" s="12"/>
      <c r="E43" s="12"/>
      <c r="F43" s="27">
        <f>ROUND(SUM(F40:F42),5)</f>
        <v>-965092.62</v>
      </c>
    </row>
    <row r="44" spans="1:6" s="23" customFormat="1" ht="10.8" thickBot="1" x14ac:dyDescent="0.25">
      <c r="A44" s="12" t="s">
        <v>422</v>
      </c>
      <c r="B44" s="12"/>
      <c r="C44" s="12"/>
      <c r="D44" s="12"/>
      <c r="E44" s="12"/>
      <c r="F44" s="22">
        <f>ROUND(F34+F39+F43,5)</f>
        <v>4541172.0199999996</v>
      </c>
    </row>
    <row r="45" spans="1:6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PPSEL Balance Sheet</vt:lpstr>
      <vt:lpstr>PPSEl P&amp;L budget to actual</vt:lpstr>
      <vt:lpstr>PPSEL Trial Balance</vt:lpstr>
      <vt:lpstr>Bldg Corp Trial Balance</vt:lpstr>
      <vt:lpstr>Bldg Corp Balance Sheet</vt:lpstr>
      <vt:lpstr>Bldg Corp Profit &amp;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jodip</cp:lastModifiedBy>
  <dcterms:created xsi:type="dcterms:W3CDTF">2021-08-10T14:35:55Z</dcterms:created>
  <dcterms:modified xsi:type="dcterms:W3CDTF">2021-08-10T17:40:07Z</dcterms:modified>
</cp:coreProperties>
</file>