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dip\Google Drive\JP Consulting LLC\PPSEL\Finacials\FY 2022\"/>
    </mc:Choice>
  </mc:AlternateContent>
  <xr:revisionPtr revIDLastSave="0" documentId="8_{50C05F74-FDF0-423F-8A0D-597812A5A54F}" xr6:coauthVersionLast="47" xr6:coauthVersionMax="47" xr10:uidLastSave="{00000000-0000-0000-0000-000000000000}"/>
  <bookViews>
    <workbookView xWindow="-108" yWindow="-108" windowWidth="20376" windowHeight="12336" activeTab="3" xr2:uid="{00000000-000D-0000-FFFF-FFFF00000000}"/>
  </bookViews>
  <sheets>
    <sheet name="PPSEL P&amp;L" sheetId="1" r:id="rId1"/>
    <sheet name="PPSEL Bldg Corp Balance Sheet" sheetId="2" r:id="rId2"/>
    <sheet name="PPSEL Balance Sheet" sheetId="3" r:id="rId3"/>
    <sheet name="PPSEL Bldg Corp P&amp;L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4" l="1"/>
  <c r="B20" i="4"/>
  <c r="B21" i="4" s="1"/>
  <c r="B16" i="4"/>
  <c r="C16" i="4" s="1"/>
  <c r="C15" i="4"/>
  <c r="B15" i="4"/>
  <c r="B13" i="4"/>
  <c r="B14" i="4" s="1"/>
  <c r="C12" i="4"/>
  <c r="B8" i="4"/>
  <c r="C8" i="4" s="1"/>
  <c r="C7" i="4"/>
  <c r="B7" i="4"/>
  <c r="B9" i="4" s="1"/>
  <c r="B54" i="3"/>
  <c r="B53" i="3"/>
  <c r="B52" i="3"/>
  <c r="B55" i="3" s="1"/>
  <c r="B46" i="3"/>
  <c r="B45" i="3"/>
  <c r="B44" i="3"/>
  <c r="B43" i="3"/>
  <c r="B42" i="3"/>
  <c r="B41" i="3"/>
  <c r="B40" i="3"/>
  <c r="B39" i="3"/>
  <c r="B38" i="3"/>
  <c r="B37" i="3"/>
  <c r="B47" i="3" s="1"/>
  <c r="B48" i="3" s="1"/>
  <c r="B33" i="3"/>
  <c r="B32" i="3"/>
  <c r="B31" i="3"/>
  <c r="B34" i="3" s="1"/>
  <c r="B35" i="3" s="1"/>
  <c r="B30" i="3"/>
  <c r="B27" i="3"/>
  <c r="B28" i="3" s="1"/>
  <c r="B19" i="3"/>
  <c r="B20" i="3" s="1"/>
  <c r="B17" i="3"/>
  <c r="B16" i="3"/>
  <c r="B13" i="3"/>
  <c r="B12" i="3"/>
  <c r="B11" i="3"/>
  <c r="B10" i="3"/>
  <c r="B9" i="3"/>
  <c r="B14" i="3" s="1"/>
  <c r="B21" i="3" s="1"/>
  <c r="B22" i="3" s="1"/>
  <c r="B43" i="2"/>
  <c r="B42" i="2"/>
  <c r="B41" i="2"/>
  <c r="B44" i="2" s="1"/>
  <c r="B37" i="2"/>
  <c r="B38" i="2" s="1"/>
  <c r="B33" i="2"/>
  <c r="B32" i="2"/>
  <c r="B34" i="2" s="1"/>
  <c r="B35" i="2" s="1"/>
  <c r="B39" i="2" s="1"/>
  <c r="B45" i="2" s="1"/>
  <c r="B24" i="2"/>
  <c r="B25" i="2" s="1"/>
  <c r="B23" i="2"/>
  <c r="B20" i="2"/>
  <c r="B19" i="2"/>
  <c r="B21" i="2" s="1"/>
  <c r="B17" i="2"/>
  <c r="B16" i="2"/>
  <c r="B15" i="2"/>
  <c r="B14" i="2"/>
  <c r="B10" i="2"/>
  <c r="B9" i="2"/>
  <c r="B11" i="2" s="1"/>
  <c r="B12" i="2" s="1"/>
  <c r="C154" i="1"/>
  <c r="C155" i="1" s="1"/>
  <c r="B153" i="1"/>
  <c r="B154" i="1" s="1"/>
  <c r="B155" i="1" s="1"/>
  <c r="C148" i="1"/>
  <c r="C149" i="1" s="1"/>
  <c r="B148" i="1"/>
  <c r="B149" i="1" s="1"/>
  <c r="D147" i="1"/>
  <c r="B146" i="1"/>
  <c r="C145" i="1"/>
  <c r="D145" i="1" s="1"/>
  <c r="C144" i="1"/>
  <c r="D144" i="1" s="1"/>
  <c r="D143" i="1"/>
  <c r="C143" i="1"/>
  <c r="C146" i="1" s="1"/>
  <c r="D146" i="1" s="1"/>
  <c r="D142" i="1"/>
  <c r="C140" i="1"/>
  <c r="D140" i="1" s="1"/>
  <c r="D139" i="1"/>
  <c r="C139" i="1"/>
  <c r="C138" i="1"/>
  <c r="D138" i="1" s="1"/>
  <c r="B138" i="1"/>
  <c r="C137" i="1"/>
  <c r="D137" i="1" s="1"/>
  <c r="C136" i="1"/>
  <c r="D136" i="1" s="1"/>
  <c r="B136" i="1"/>
  <c r="C135" i="1"/>
  <c r="D135" i="1" s="1"/>
  <c r="B135" i="1"/>
  <c r="C134" i="1"/>
  <c r="D134" i="1" s="1"/>
  <c r="B134" i="1"/>
  <c r="D133" i="1"/>
  <c r="C133" i="1"/>
  <c r="B133" i="1"/>
  <c r="D132" i="1"/>
  <c r="C132" i="1"/>
  <c r="C131" i="1"/>
  <c r="D131" i="1" s="1"/>
  <c r="B131" i="1"/>
  <c r="D130" i="1"/>
  <c r="C130" i="1"/>
  <c r="B130" i="1"/>
  <c r="D129" i="1"/>
  <c r="C129" i="1"/>
  <c r="B129" i="1"/>
  <c r="C128" i="1"/>
  <c r="D128" i="1" s="1"/>
  <c r="B128" i="1"/>
  <c r="C127" i="1"/>
  <c r="D127" i="1" s="1"/>
  <c r="B127" i="1"/>
  <c r="C126" i="1"/>
  <c r="D126" i="1" s="1"/>
  <c r="B126" i="1"/>
  <c r="C125" i="1"/>
  <c r="D125" i="1" s="1"/>
  <c r="B125" i="1"/>
  <c r="C124" i="1"/>
  <c r="D124" i="1" s="1"/>
  <c r="C123" i="1"/>
  <c r="D123" i="1" s="1"/>
  <c r="B123" i="1"/>
  <c r="C122" i="1"/>
  <c r="D122" i="1" s="1"/>
  <c r="B122" i="1"/>
  <c r="C121" i="1"/>
  <c r="D121" i="1" s="1"/>
  <c r="B121" i="1"/>
  <c r="B141" i="1" s="1"/>
  <c r="D120" i="1"/>
  <c r="B119" i="1"/>
  <c r="C118" i="1"/>
  <c r="D118" i="1" s="1"/>
  <c r="B118" i="1"/>
  <c r="C117" i="1"/>
  <c r="D117" i="1" s="1"/>
  <c r="B117" i="1"/>
  <c r="C116" i="1"/>
  <c r="D116" i="1" s="1"/>
  <c r="B116" i="1"/>
  <c r="C115" i="1"/>
  <c r="D115" i="1" s="1"/>
  <c r="C114" i="1"/>
  <c r="D114" i="1" s="1"/>
  <c r="B114" i="1"/>
  <c r="C113" i="1"/>
  <c r="C119" i="1" s="1"/>
  <c r="D119" i="1" s="1"/>
  <c r="B113" i="1"/>
  <c r="C112" i="1"/>
  <c r="D112" i="1" s="1"/>
  <c r="B112" i="1"/>
  <c r="C111" i="1"/>
  <c r="D111" i="1" s="1"/>
  <c r="B111" i="1"/>
  <c r="D110" i="1"/>
  <c r="C110" i="1"/>
  <c r="C109" i="1"/>
  <c r="D109" i="1" s="1"/>
  <c r="B109" i="1"/>
  <c r="C108" i="1"/>
  <c r="D108" i="1" s="1"/>
  <c r="B108" i="1"/>
  <c r="D107" i="1"/>
  <c r="C107" i="1"/>
  <c r="B106" i="1"/>
  <c r="D106" i="1" s="1"/>
  <c r="D105" i="1"/>
  <c r="B104" i="1"/>
  <c r="D103" i="1"/>
  <c r="B103" i="1"/>
  <c r="C102" i="1"/>
  <c r="D102" i="1" s="1"/>
  <c r="B102" i="1"/>
  <c r="C101" i="1"/>
  <c r="D101" i="1" s="1"/>
  <c r="C100" i="1"/>
  <c r="D100" i="1" s="1"/>
  <c r="B100" i="1"/>
  <c r="C99" i="1"/>
  <c r="D99" i="1" s="1"/>
  <c r="B99" i="1"/>
  <c r="C98" i="1"/>
  <c r="D98" i="1" s="1"/>
  <c r="C97" i="1"/>
  <c r="D97" i="1" s="1"/>
  <c r="B97" i="1"/>
  <c r="C96" i="1"/>
  <c r="D96" i="1" s="1"/>
  <c r="B96" i="1"/>
  <c r="D95" i="1"/>
  <c r="B94" i="1"/>
  <c r="C93" i="1"/>
  <c r="D93" i="1" s="1"/>
  <c r="B93" i="1"/>
  <c r="C92" i="1"/>
  <c r="D92" i="1" s="1"/>
  <c r="B92" i="1"/>
  <c r="C91" i="1"/>
  <c r="D91" i="1" s="1"/>
  <c r="B91" i="1"/>
  <c r="C90" i="1"/>
  <c r="D90" i="1" s="1"/>
  <c r="B90" i="1"/>
  <c r="C89" i="1"/>
  <c r="D89" i="1" s="1"/>
  <c r="B89" i="1"/>
  <c r="D88" i="1"/>
  <c r="C88" i="1"/>
  <c r="C87" i="1"/>
  <c r="D87" i="1" s="1"/>
  <c r="B87" i="1"/>
  <c r="C86" i="1"/>
  <c r="D86" i="1" s="1"/>
  <c r="B86" i="1"/>
  <c r="D85" i="1"/>
  <c r="C85" i="1"/>
  <c r="B85" i="1"/>
  <c r="D84" i="1"/>
  <c r="C84" i="1"/>
  <c r="C83" i="1"/>
  <c r="D83" i="1" s="1"/>
  <c r="C82" i="1"/>
  <c r="D82" i="1" s="1"/>
  <c r="B82" i="1"/>
  <c r="C81" i="1"/>
  <c r="D81" i="1" s="1"/>
  <c r="B81" i="1"/>
  <c r="B80" i="1"/>
  <c r="D80" i="1" s="1"/>
  <c r="C79" i="1"/>
  <c r="C94" i="1" s="1"/>
  <c r="D94" i="1" s="1"/>
  <c r="B79" i="1"/>
  <c r="D78" i="1"/>
  <c r="C76" i="1"/>
  <c r="D76" i="1" s="1"/>
  <c r="D75" i="1"/>
  <c r="C75" i="1"/>
  <c r="B75" i="1"/>
  <c r="C74" i="1"/>
  <c r="B74" i="1"/>
  <c r="D74" i="1" s="1"/>
  <c r="B73" i="1"/>
  <c r="D73" i="1" s="1"/>
  <c r="D72" i="1"/>
  <c r="B72" i="1"/>
  <c r="C71" i="1"/>
  <c r="D71" i="1" s="1"/>
  <c r="B71" i="1"/>
  <c r="C70" i="1"/>
  <c r="D70" i="1" s="1"/>
  <c r="B70" i="1"/>
  <c r="D69" i="1"/>
  <c r="C69" i="1"/>
  <c r="B69" i="1"/>
  <c r="C68" i="1"/>
  <c r="B68" i="1"/>
  <c r="D68" i="1" s="1"/>
  <c r="C67" i="1"/>
  <c r="D67" i="1" s="1"/>
  <c r="B67" i="1"/>
  <c r="C66" i="1"/>
  <c r="D66" i="1" s="1"/>
  <c r="B66" i="1"/>
  <c r="B65" i="1"/>
  <c r="D65" i="1" s="1"/>
  <c r="C64" i="1"/>
  <c r="D64" i="1" s="1"/>
  <c r="B64" i="1"/>
  <c r="C63" i="1"/>
  <c r="D63" i="1" s="1"/>
  <c r="B63" i="1"/>
  <c r="C62" i="1"/>
  <c r="D62" i="1" s="1"/>
  <c r="B62" i="1"/>
  <c r="C61" i="1"/>
  <c r="D61" i="1" s="1"/>
  <c r="B61" i="1"/>
  <c r="C60" i="1"/>
  <c r="D60" i="1" s="1"/>
  <c r="B60" i="1"/>
  <c r="C59" i="1"/>
  <c r="D59" i="1" s="1"/>
  <c r="B59" i="1"/>
  <c r="D58" i="1"/>
  <c r="C58" i="1"/>
  <c r="B58" i="1"/>
  <c r="D57" i="1"/>
  <c r="C57" i="1"/>
  <c r="B57" i="1"/>
  <c r="B56" i="1"/>
  <c r="D56" i="1" s="1"/>
  <c r="D55" i="1"/>
  <c r="C55" i="1"/>
  <c r="B55" i="1"/>
  <c r="D54" i="1"/>
  <c r="C54" i="1"/>
  <c r="B54" i="1"/>
  <c r="C53" i="1"/>
  <c r="D53" i="1" s="1"/>
  <c r="B53" i="1"/>
  <c r="C52" i="1"/>
  <c r="D52" i="1" s="1"/>
  <c r="D51" i="1"/>
  <c r="C51" i="1"/>
  <c r="B51" i="1"/>
  <c r="C50" i="1"/>
  <c r="C77" i="1" s="1"/>
  <c r="D77" i="1" s="1"/>
  <c r="B50" i="1"/>
  <c r="B77" i="1" s="1"/>
  <c r="D49" i="1"/>
  <c r="C47" i="1"/>
  <c r="D47" i="1" s="1"/>
  <c r="B47" i="1"/>
  <c r="D46" i="1"/>
  <c r="C46" i="1"/>
  <c r="B46" i="1"/>
  <c r="D45" i="1"/>
  <c r="C45" i="1"/>
  <c r="B45" i="1"/>
  <c r="C44" i="1"/>
  <c r="D44" i="1" s="1"/>
  <c r="B44" i="1"/>
  <c r="D43" i="1"/>
  <c r="B43" i="1"/>
  <c r="D42" i="1"/>
  <c r="B42" i="1"/>
  <c r="C41" i="1"/>
  <c r="D41" i="1" s="1"/>
  <c r="B41" i="1"/>
  <c r="D40" i="1"/>
  <c r="C40" i="1"/>
  <c r="C48" i="1" s="1"/>
  <c r="B40" i="1"/>
  <c r="B48" i="1" s="1"/>
  <c r="D39" i="1"/>
  <c r="C35" i="1"/>
  <c r="C34" i="1"/>
  <c r="D34" i="1" s="1"/>
  <c r="B34" i="1"/>
  <c r="B35" i="1" s="1"/>
  <c r="D33" i="1"/>
  <c r="B32" i="1"/>
  <c r="C31" i="1"/>
  <c r="C32" i="1" s="1"/>
  <c r="D32" i="1" s="1"/>
  <c r="B31" i="1"/>
  <c r="D30" i="1"/>
  <c r="D28" i="1"/>
  <c r="C28" i="1"/>
  <c r="B28" i="1"/>
  <c r="C27" i="1"/>
  <c r="D27" i="1" s="1"/>
  <c r="B27" i="1"/>
  <c r="D26" i="1"/>
  <c r="C26" i="1"/>
  <c r="D25" i="1"/>
  <c r="C25" i="1"/>
  <c r="B25" i="1"/>
  <c r="C24" i="1"/>
  <c r="C29" i="1" s="1"/>
  <c r="D29" i="1" s="1"/>
  <c r="B24" i="1"/>
  <c r="B29" i="1" s="1"/>
  <c r="D23" i="1"/>
  <c r="D21" i="1"/>
  <c r="C21" i="1"/>
  <c r="C20" i="1"/>
  <c r="D20" i="1" s="1"/>
  <c r="D19" i="1"/>
  <c r="B19" i="1"/>
  <c r="D18" i="1"/>
  <c r="C18" i="1"/>
  <c r="B18" i="1"/>
  <c r="C17" i="1"/>
  <c r="D17" i="1" s="1"/>
  <c r="B17" i="1"/>
  <c r="D16" i="1"/>
  <c r="B16" i="1"/>
  <c r="D15" i="1"/>
  <c r="C15" i="1"/>
  <c r="B15" i="1"/>
  <c r="C14" i="1"/>
  <c r="D14" i="1" s="1"/>
  <c r="B14" i="1"/>
  <c r="D13" i="1"/>
  <c r="C13" i="1"/>
  <c r="B13" i="1"/>
  <c r="C12" i="1"/>
  <c r="D12" i="1" s="1"/>
  <c r="B12" i="1"/>
  <c r="C11" i="1"/>
  <c r="D11" i="1" s="1"/>
  <c r="B11" i="1"/>
  <c r="C10" i="1"/>
  <c r="D10" i="1" s="1"/>
  <c r="B10" i="1"/>
  <c r="C9" i="1"/>
  <c r="B9" i="1"/>
  <c r="B22" i="1" s="1"/>
  <c r="B36" i="1" s="1"/>
  <c r="B37" i="1" s="1"/>
  <c r="D8" i="1"/>
  <c r="C14" i="4" l="1"/>
  <c r="B17" i="4"/>
  <c r="C17" i="4" s="1"/>
  <c r="B10" i="4"/>
  <c r="C9" i="4"/>
  <c r="B22" i="4"/>
  <c r="C22" i="4" s="1"/>
  <c r="C21" i="4"/>
  <c r="C13" i="4"/>
  <c r="B49" i="3"/>
  <c r="B50" i="3" s="1"/>
  <c r="B56" i="3" s="1"/>
  <c r="B26" i="2"/>
  <c r="B27" i="2" s="1"/>
  <c r="D48" i="1"/>
  <c r="D35" i="1"/>
  <c r="D149" i="1"/>
  <c r="B150" i="1"/>
  <c r="B151" i="1" s="1"/>
  <c r="B156" i="1" s="1"/>
  <c r="D155" i="1"/>
  <c r="D113" i="1"/>
  <c r="D154" i="1"/>
  <c r="D24" i="1"/>
  <c r="D50" i="1"/>
  <c r="C104" i="1"/>
  <c r="D104" i="1" s="1"/>
  <c r="D148" i="1"/>
  <c r="D79" i="1"/>
  <c r="D9" i="1"/>
  <c r="D31" i="1"/>
  <c r="C141" i="1"/>
  <c r="D141" i="1" s="1"/>
  <c r="C22" i="1"/>
  <c r="D153" i="1"/>
  <c r="B18" i="4" l="1"/>
  <c r="C10" i="4"/>
  <c r="D22" i="1"/>
  <c r="C36" i="1"/>
  <c r="C150" i="1"/>
  <c r="D150" i="1" s="1"/>
  <c r="C18" i="4" l="1"/>
  <c r="B23" i="4"/>
  <c r="C23" i="4" s="1"/>
  <c r="C37" i="1"/>
  <c r="D36" i="1"/>
  <c r="D37" i="1" l="1"/>
  <c r="C151" i="1"/>
  <c r="C156" i="1" l="1"/>
  <c r="D156" i="1" s="1"/>
  <c r="D151" i="1"/>
</calcChain>
</file>

<file path=xl/sharedStrings.xml><?xml version="1.0" encoding="utf-8"?>
<sst xmlns="http://schemas.openxmlformats.org/spreadsheetml/2006/main" count="283" uniqueCount="246">
  <si>
    <t>Total</t>
  </si>
  <si>
    <t>Actual</t>
  </si>
  <si>
    <t>Budget</t>
  </si>
  <si>
    <t>Remaining</t>
  </si>
  <si>
    <t>Revenue</t>
  </si>
  <si>
    <t xml:space="preserve">   1000 Local Sources</t>
  </si>
  <si>
    <t xml:space="preserve">      1310000 Tuition Pre Kindergarten</t>
  </si>
  <si>
    <t xml:space="preserve">      1510000 Interest on Investments</t>
  </si>
  <si>
    <t xml:space="preserve">      1740000 Student Fee Income</t>
  </si>
  <si>
    <t xml:space="preserve">      1740001 Pre K Supplies Fees</t>
  </si>
  <si>
    <t xml:space="preserve">      1750001 FUNd Run Fundraiser</t>
  </si>
  <si>
    <t xml:space="preserve">      1750002 Used School Shirts</t>
  </si>
  <si>
    <t xml:space="preserve">      1790001 Yearbook &amp; Photos</t>
  </si>
  <si>
    <t xml:space="preserve">      1820000 Before &amp; After Care Fees</t>
  </si>
  <si>
    <t xml:space="preserve">      1910000 Rental Income Gym Usage</t>
  </si>
  <si>
    <t xml:space="preserve">      1920001 Unrestricted Donations</t>
  </si>
  <si>
    <t xml:space="preserve">      1990000 Miscellaneous</t>
  </si>
  <si>
    <t xml:space="preserve">      1990001 Grant Income</t>
  </si>
  <si>
    <t xml:space="preserve">      1990002 Mill Levy Override Funds</t>
  </si>
  <si>
    <t xml:space="preserve">   Total 1000 Local Sources</t>
  </si>
  <si>
    <t xml:space="preserve">   3000 State Sources</t>
  </si>
  <si>
    <t xml:space="preserve">      3954000 READ Grant 3259</t>
  </si>
  <si>
    <t xml:space="preserve">      3954001 Charter Capital Con. Grant 3113</t>
  </si>
  <si>
    <t xml:space="preserve">      3954003 PERA Direct Distribution</t>
  </si>
  <si>
    <t xml:space="preserve">      3954004 State ELPA 3139</t>
  </si>
  <si>
    <t xml:space="preserve">      3954005 State ELPA 3140</t>
  </si>
  <si>
    <t xml:space="preserve">   Total 3000 State Sources</t>
  </si>
  <si>
    <t xml:space="preserve">   4000 Federal Sources</t>
  </si>
  <si>
    <t xml:space="preserve">      0494004 ESSER II #4420</t>
  </si>
  <si>
    <t xml:space="preserve">   Total 4000 Federal Sources</t>
  </si>
  <si>
    <t xml:space="preserve">   5000 Other Sources</t>
  </si>
  <si>
    <t xml:space="preserve">      5710000 Charter School PPR</t>
  </si>
  <si>
    <t xml:space="preserve">   Total 5000 Other Sources</t>
  </si>
  <si>
    <t>Total Revenue</t>
  </si>
  <si>
    <t>Gross Profit</t>
  </si>
  <si>
    <t>Expenditures</t>
  </si>
  <si>
    <t xml:space="preserve">   0100 Salaries</t>
  </si>
  <si>
    <t xml:space="preserve">      0110100 Salaries Administrator</t>
  </si>
  <si>
    <t xml:space="preserve">      0110201 Salary Teacher</t>
  </si>
  <si>
    <t xml:space="preserve">      0110222 Salary Interventionist</t>
  </si>
  <si>
    <t xml:space="preserve">      0110403 Salary Before &amp; After Care</t>
  </si>
  <si>
    <t xml:space="preserve">      0110414 Salary Lunch Monitor</t>
  </si>
  <si>
    <t xml:space="preserve">      0110415 Salary Teacher Assistants</t>
  </si>
  <si>
    <t xml:space="preserve">      0110500 Salaries Clerical</t>
  </si>
  <si>
    <t xml:space="preserve">      0110608 Salary Custodian</t>
  </si>
  <si>
    <t xml:space="preserve">   Total 0100 Salaries</t>
  </si>
  <si>
    <t xml:space="preserve">   0200 Employee Benefits</t>
  </si>
  <si>
    <t xml:space="preserve">      0210100 Life / Disability Admin</t>
  </si>
  <si>
    <t xml:space="preserve">      0210201 Life / Disability Teachers</t>
  </si>
  <si>
    <t xml:space="preserve">      0210414 Life / Disability Lunch Monitor</t>
  </si>
  <si>
    <t xml:space="preserve">      0210415 Life / Disability Teacher Asst.</t>
  </si>
  <si>
    <t xml:space="preserve">      0210500 Life / Disability Office</t>
  </si>
  <si>
    <t xml:space="preserve">      0210608 Life / Disability Custodial</t>
  </si>
  <si>
    <t xml:space="preserve">      0220222 Medicare/FICA Interventionist</t>
  </si>
  <si>
    <t xml:space="preserve">      0221100 Medicare Admin</t>
  </si>
  <si>
    <t xml:space="preserve">      0221200 Medicare Teachers</t>
  </si>
  <si>
    <t xml:space="preserve">      0221414 Medicare TA</t>
  </si>
  <si>
    <t xml:space="preserve">      0221415 Medicare Lunch Monitor</t>
  </si>
  <si>
    <t xml:space="preserve">      0221500 Medicare Clerical</t>
  </si>
  <si>
    <t xml:space="preserve">      0221608 Medicare Custodian</t>
  </si>
  <si>
    <t xml:space="preserve">      0230100 PERA Contribution Admin</t>
  </si>
  <si>
    <t xml:space="preserve">      0230200 PERA Contributions Teachers</t>
  </si>
  <si>
    <t xml:space="preserve">      0230222 PERA Contributions Interventionist</t>
  </si>
  <si>
    <t xml:space="preserve">      0230414 PERA Lunch Monitor</t>
  </si>
  <si>
    <t xml:space="preserve">      0230415 PERA Contributions Teach Asst.</t>
  </si>
  <si>
    <t xml:space="preserve">      0230500 PERA Contribution Clerical</t>
  </si>
  <si>
    <t xml:space="preserve">      0230608 PERA Contribution Custodian</t>
  </si>
  <si>
    <t xml:space="preserve">      0251100 Health Dental Vision Ins. Admin</t>
  </si>
  <si>
    <t xml:space="preserve">      0251200 Health Dental Vision Ins. Teacher</t>
  </si>
  <si>
    <t xml:space="preserve">      0251201 Health Insurance Teachers</t>
  </si>
  <si>
    <t xml:space="preserve">      0251222 Health, Medical Vision Interventionist</t>
  </si>
  <si>
    <t xml:space="preserve">      0251415 Health Dental Vision Ins Teach Asst.</t>
  </si>
  <si>
    <t xml:space="preserve">      0251500 Health Dental Vision Ins. Clerical</t>
  </si>
  <si>
    <t xml:space="preserve">      0280000 On behalf STATE to PERA</t>
  </si>
  <si>
    <t xml:space="preserve">   Total 0200 Employee Benefits</t>
  </si>
  <si>
    <t xml:space="preserve">   0300 Purchased Prof &amp; Tech Svs</t>
  </si>
  <si>
    <t xml:space="preserve">      0313000 Banking Service Fees</t>
  </si>
  <si>
    <t xml:space="preserve">      0313003 Finance Charges</t>
  </si>
  <si>
    <t xml:space="preserve">      0330001 Other Prof Svs Temp Support</t>
  </si>
  <si>
    <t xml:space="preserve">      0331000 Legal Services</t>
  </si>
  <si>
    <t xml:space="preserve">      0332000 Audit Services</t>
  </si>
  <si>
    <t xml:space="preserve">      0335000 Nursing Services</t>
  </si>
  <si>
    <t xml:space="preserve">      0339000 Background Checks</t>
  </si>
  <si>
    <t xml:space="preserve">      0339001 Payroll Processing Fees</t>
  </si>
  <si>
    <t xml:space="preserve">      0339002 IT Services</t>
  </si>
  <si>
    <t xml:space="preserve">      0339006 Daycare Contract Labor</t>
  </si>
  <si>
    <t xml:space="preserve">      0339010 Accounting Svs</t>
  </si>
  <si>
    <t xml:space="preserve">      0350000 Staff Training &amp; Development</t>
  </si>
  <si>
    <t xml:space="preserve">      0350003 Licenses</t>
  </si>
  <si>
    <t xml:space="preserve">      0390000 D49 Buyback SIS Powerschool</t>
  </si>
  <si>
    <t xml:space="preserve">      0390001 Buyback D49 Central Admin</t>
  </si>
  <si>
    <t xml:space="preserve">   Total 0300 Purchased Prof &amp; Tech Svs</t>
  </si>
  <si>
    <t xml:space="preserve">   0400 Purchased Property Svs</t>
  </si>
  <si>
    <t xml:space="preserve">      0411000 Water &amp; Sewer</t>
  </si>
  <si>
    <t xml:space="preserve">      0421000 Trash Disposal</t>
  </si>
  <si>
    <t xml:space="preserve">      0422000 Snow Removal</t>
  </si>
  <si>
    <t xml:space="preserve">      0430000 Equipment Repairs</t>
  </si>
  <si>
    <t xml:space="preserve">      0431000 Building Lease</t>
  </si>
  <si>
    <t xml:space="preserve">      0432000 Copier Maintenance</t>
  </si>
  <si>
    <t xml:space="preserve">      0442000 Rental Equipment Copier</t>
  </si>
  <si>
    <t xml:space="preserve">      0442001 Equipment Rental Storage Unit</t>
  </si>
  <si>
    <t xml:space="preserve">   Total 0400 Purchased Property Svs</t>
  </si>
  <si>
    <t xml:space="preserve">   0500 Other Purchased Svs</t>
  </si>
  <si>
    <t xml:space="preserve">      0513000 Contracted Field Trip</t>
  </si>
  <si>
    <t xml:space="preserve">      0521000 Liability Insurance</t>
  </si>
  <si>
    <t xml:space="preserve">      0525000 Colorado Unemployment</t>
  </si>
  <si>
    <t xml:space="preserve">      0526000 Workers Comp Insurance</t>
  </si>
  <si>
    <t xml:space="preserve">      0530000 Internet Access</t>
  </si>
  <si>
    <t xml:space="preserve">      0530003 Misc Purchased Services</t>
  </si>
  <si>
    <t xml:space="preserve">      0531000 Phone/Fax</t>
  </si>
  <si>
    <t xml:space="preserve">      0533000 Postage</t>
  </si>
  <si>
    <t xml:space="preserve">      0540000 Staff Recruitment</t>
  </si>
  <si>
    <t xml:space="preserve">      0540001 Advertising &amp; Marketing</t>
  </si>
  <si>
    <t xml:space="preserve">      0580000 Travel, Registration &amp; Entrance</t>
  </si>
  <si>
    <t xml:space="preserve">      0585000 Staff/Student/Volunteer Support</t>
  </si>
  <si>
    <t xml:space="preserve">      0594000 D49 Buyback SPED</t>
  </si>
  <si>
    <t xml:space="preserve">   Total 0500 Other Purchased Svs</t>
  </si>
  <si>
    <t xml:space="preserve">   0600 Supplies</t>
  </si>
  <si>
    <t xml:space="preserve">      0610000 Supplies Classroom</t>
  </si>
  <si>
    <t xml:space="preserve">      0610001 Supplies Expedition</t>
  </si>
  <si>
    <t xml:space="preserve">      0610003 Supplies Office General</t>
  </si>
  <si>
    <t xml:space="preserve">      0610004 Supplies After School Program</t>
  </si>
  <si>
    <t xml:space="preserve">      0610005 Supplies Classroom Library</t>
  </si>
  <si>
    <t xml:space="preserve">      0610006 Supplies Art</t>
  </si>
  <si>
    <t xml:space="preserve">      0610007 Supplies Music</t>
  </si>
  <si>
    <t xml:space="preserve">      0610008 PTO Expense</t>
  </si>
  <si>
    <t xml:space="preserve">      0610010 Printing &amp; Copy Supplies</t>
  </si>
  <si>
    <t xml:space="preserve">      0610011 Supplies Health</t>
  </si>
  <si>
    <t xml:space="preserve">      0610015 Supplies PE</t>
  </si>
  <si>
    <t xml:space="preserve">      0612000 Miscellaneous</t>
  </si>
  <si>
    <t xml:space="preserve">      0614000 Supplies Bldg &amp; Grounds</t>
  </si>
  <si>
    <t xml:space="preserve">      0615000 Supplies Bathroom</t>
  </si>
  <si>
    <t xml:space="preserve">      0621000 Natural Gas</t>
  </si>
  <si>
    <t xml:space="preserve">      0622000 Electricity</t>
  </si>
  <si>
    <t xml:space="preserve">      0640004 Textbooks &amp; Curriculum</t>
  </si>
  <si>
    <t xml:space="preserve">      0650001 Electronic Media Software</t>
  </si>
  <si>
    <t xml:space="preserve">      0650002 Electronic Media Materials</t>
  </si>
  <si>
    <t xml:space="preserve">      0650003 Software License</t>
  </si>
  <si>
    <t xml:space="preserve">   Total 0600 Supplies</t>
  </si>
  <si>
    <t xml:space="preserve">   0700 Property</t>
  </si>
  <si>
    <t xml:space="preserve">      0730000 Equipment</t>
  </si>
  <si>
    <t xml:space="preserve">      0734001 Technology Equipment</t>
  </si>
  <si>
    <t xml:space="preserve">      0735000 Non-Capital Equipment</t>
  </si>
  <si>
    <t xml:space="preserve">   Total 0700 Property</t>
  </si>
  <si>
    <t xml:space="preserve">   0800 Other Objects</t>
  </si>
  <si>
    <t xml:space="preserve">      0810000 Dues &amp; Fees</t>
  </si>
  <si>
    <t xml:space="preserve">   Total 0800 Other Objects</t>
  </si>
  <si>
    <t>Total Expenditures</t>
  </si>
  <si>
    <t>Net Operating Revenue</t>
  </si>
  <si>
    <t>Other Expenditures</t>
  </si>
  <si>
    <t xml:space="preserve">   Reconciliation Discrepancies</t>
  </si>
  <si>
    <t>Total Other Expenditures</t>
  </si>
  <si>
    <t>Net Other Revenue</t>
  </si>
  <si>
    <t>Net Revenue</t>
  </si>
  <si>
    <t>Wednesday, Nov 17, 2021 01:47:27 PM GMT-8 - Accrual Basis</t>
  </si>
  <si>
    <t>Pikes Peak School of Expeditionary Learning</t>
  </si>
  <si>
    <t>FY22 Actuals vs PROPOSED Budget</t>
  </si>
  <si>
    <t>July - September, 2021</t>
  </si>
  <si>
    <t>Balance Sheet FY22 Building Corp</t>
  </si>
  <si>
    <t>As of September 30, 2021</t>
  </si>
  <si>
    <t>ASSETS</t>
  </si>
  <si>
    <t xml:space="preserve">   Current Assets</t>
  </si>
  <si>
    <t xml:space="preserve">      Bank Accounts</t>
  </si>
  <si>
    <t xml:space="preserve">         28-8111000 UMB Series 2021 Interest</t>
  </si>
  <si>
    <t xml:space="preserve">         28-8111001 UMB Series 2021 Principal</t>
  </si>
  <si>
    <t xml:space="preserve">      Total Bank Accounts</t>
  </si>
  <si>
    <t xml:space="preserve">   Total Current Assets</t>
  </si>
  <si>
    <t xml:space="preserve">   Fixed Assets</t>
  </si>
  <si>
    <t xml:space="preserve">      28-8211000 Land 11925 Antlers Ridge Road</t>
  </si>
  <si>
    <t xml:space="preserve">      28-8211001 Land Water Rights Antlers Ridge Dr</t>
  </si>
  <si>
    <t xml:space="preserve">      28-8211002 Land Improvements</t>
  </si>
  <si>
    <t xml:space="preserve">      28-8221001 Leasehold Improvements</t>
  </si>
  <si>
    <t xml:space="preserve">      28-8231000 Building 11925 Antler's Ridge Dr</t>
  </si>
  <si>
    <t xml:space="preserve">         28-821100 Original cost</t>
  </si>
  <si>
    <t xml:space="preserve">         28-8232000 Accum. Depreciation Building</t>
  </si>
  <si>
    <t xml:space="preserve">      Total 28-8231000 Building 11925 Antler's Ridge Dr</t>
  </si>
  <si>
    <t xml:space="preserve">      28-8241000 Furniture &amp; Equipment</t>
  </si>
  <si>
    <t xml:space="preserve">         28-824100 Original cost</t>
  </si>
  <si>
    <t xml:space="preserve">         28-8242000 Accum Deprec. FF&amp;E</t>
  </si>
  <si>
    <t xml:space="preserve">      Total 28-8241000 Furniture &amp; Equipment</t>
  </si>
  <si>
    <t xml:space="preserve">   Total Fixed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</si>
  <si>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</si>
  <si>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</si>
  <si>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</si>
  <si>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</si>
  <si>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</si>
  <si>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28-7442000 Current Bonds Series 2021 Payable</t>
  </si>
  <si>
    <t xml:space="preserve">            28-7455000 Current Interest Payable</t>
  </si>
  <si>
    <t xml:space="preserve">         Total Accounts Payable</t>
  </si>
  <si>
    <t xml:space="preserve">      Total Current Liabilities</t>
  </si>
  <si>
    <t xml:space="preserve">      Long-Term Liabilities</t>
  </si>
  <si>
    <t xml:space="preserve">         28-7521000 Bond Series 2021 Payable</t>
  </si>
  <si>
    <t xml:space="preserve">      Total Long-Term Liabilities</t>
  </si>
  <si>
    <t xml:space="preserve">   Total Liabilities</t>
  </si>
  <si>
    <t xml:space="preserve">   Equity</t>
  </si>
  <si>
    <t xml:space="preserve">      28-6720000 Restricted for Debt Service</t>
  </si>
  <si>
    <t xml:space="preserve">      6770000 Unassigned Fund Balance</t>
  </si>
  <si>
    <t xml:space="preserve">      Net Revenue</t>
  </si>
  <si>
    <t xml:space="preserve">   Total Equity</t>
  </si>
  <si>
    <t>TOTAL LIABILITIES AND EQUITY</t>
  </si>
  <si>
    <t>Wednesday, Nov 17, 2021 11:31:38 AM GMT-8 - Accrual Basis</t>
  </si>
  <si>
    <t>FY22 Balance Sheet</t>
  </si>
  <si>
    <t xml:space="preserve">         8101003 FSB General Fund</t>
  </si>
  <si>
    <t xml:space="preserve">         8101008 FSB PTO / Activity Acct</t>
  </si>
  <si>
    <t xml:space="preserve">         8101023 Sunflower General Fund</t>
  </si>
  <si>
    <t xml:space="preserve">         8101026 Sunflower PTO Account</t>
  </si>
  <si>
    <t xml:space="preserve">         8111001 Sunflower MM General</t>
  </si>
  <si>
    <t xml:space="preserve">      Accounts Receivable</t>
  </si>
  <si>
    <t xml:space="preserve">         8153001 Accounts Receivable Other</t>
  </si>
  <si>
    <t xml:space="preserve">      Total Accounts Receivable</t>
  </si>
  <si>
    <t xml:space="preserve">      Other Current Assets</t>
  </si>
  <si>
    <t xml:space="preserve">         Undeposited Funds</t>
  </si>
  <si>
    <t xml:space="preserve">      Total Other Current Assets</t>
  </si>
  <si>
    <t xml:space="preserve">            7421000 Accounts Payable</t>
  </si>
  <si>
    <t xml:space="preserve">         Credit Cards</t>
  </si>
  <si>
    <t xml:space="preserve">            7421001 Credit Cards</t>
  </si>
  <si>
    <t xml:space="preserve">               7421002 Central Bill 0452</t>
  </si>
  <si>
    <t xml:space="preserve">               7421003 Visa 7761 Knapp</t>
  </si>
  <si>
    <t xml:space="preserve">               7421004 Visa 8017 Ghost</t>
  </si>
  <si>
    <t xml:space="preserve">            Total 7421001 Credit Cards</t>
  </si>
  <si>
    <t xml:space="preserve">         Total Credit Cards</t>
  </si>
  <si>
    <t xml:space="preserve">         Other Current Liabilities</t>
  </si>
  <si>
    <t xml:space="preserve">            7471000 Payroll Liabilities</t>
  </si>
  <si>
    <t xml:space="preserve">               7471004 Aflac</t>
  </si>
  <si>
    <t xml:space="preserve">               7471005 PERA Contribution Employee</t>
  </si>
  <si>
    <t xml:space="preserve">               7471006 PERA 401K Employee</t>
  </si>
  <si>
    <t xml:space="preserve">               7471011 Health Insurance PPSEL</t>
  </si>
  <si>
    <t xml:space="preserve">               7471014 Life Insurance PPSEL</t>
  </si>
  <si>
    <t xml:space="preserve">               7471015 Colorado Unemployment</t>
  </si>
  <si>
    <t xml:space="preserve">               7471018 Medicare Employee</t>
  </si>
  <si>
    <t xml:space="preserve">               7471019 Medicare Company</t>
  </si>
  <si>
    <t xml:space="preserve">               7471020 PERA PPSEL</t>
  </si>
  <si>
    <t xml:space="preserve">            Total 7471000 Payroll Liabilities</t>
  </si>
  <si>
    <t xml:space="preserve">         Total Other Current Liabilities</t>
  </si>
  <si>
    <t xml:space="preserve">      6721000 Restricted Tabor Reserve</t>
  </si>
  <si>
    <t>Wednesday, Nov 17, 2021 01:38:20 PM GMT-8 - Accrual Basis</t>
  </si>
  <si>
    <t>FY22 Profit &amp; Loss Building Corp</t>
  </si>
  <si>
    <t>28 Building Corporation</t>
  </si>
  <si>
    <t xml:space="preserve">   28-1910000 Lease Revenue</t>
  </si>
  <si>
    <t xml:space="preserve">   28-1990000 Misc Revenue, Refi Bonds</t>
  </si>
  <si>
    <t xml:space="preserve">   28-0830000 Interest Paid Bldg Corp</t>
  </si>
  <si>
    <t xml:space="preserve">   28-0900000 Bond Principal Expense</t>
  </si>
  <si>
    <t>Other Revenue</t>
  </si>
  <si>
    <t xml:space="preserve">   28-1510000 Interest on Investments</t>
  </si>
  <si>
    <t>Total Other Revenue</t>
  </si>
  <si>
    <t>Wednesday, Nov 17, 2021 11:55:23 AM GMT-8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</si>
</sst>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€"/>
    <numFmt numFmtId="165" formatCode="&quot;$&quot;* #,##0\ _€"/>
  </numFmts>
  <fonts count="6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0"/>
  <sheetViews>
    <sheetView workbookViewId="0">
      <selection activeCell="B9" sqref="B9"/>
    </sheetView>
  </sheetViews>
  <sheetFormatPr defaultRowHeight="14.4" x14ac:dyDescent="0.3"/>
  <cols>
    <col min="1" max="1" width="45.5546875" customWidth="1"/>
    <col min="2" max="4" width="18.88671875" customWidth="1"/>
  </cols>
  <sheetData>
    <row r="1" spans="1:4" ht="17.399999999999999" x14ac:dyDescent="0.3">
      <c r="A1" s="12" t="s">
        <v>155</v>
      </c>
      <c r="B1" s="11"/>
      <c r="C1" s="11"/>
      <c r="D1" s="11"/>
    </row>
    <row r="2" spans="1:4" ht="17.399999999999999" x14ac:dyDescent="0.3">
      <c r="A2" s="12" t="s">
        <v>156</v>
      </c>
      <c r="B2" s="11"/>
      <c r="C2" s="11"/>
      <c r="D2" s="11"/>
    </row>
    <row r="3" spans="1:4" x14ac:dyDescent="0.3">
      <c r="A3" s="13" t="s">
        <v>157</v>
      </c>
      <c r="B3" s="11"/>
      <c r="C3" s="11"/>
      <c r="D3" s="11"/>
    </row>
    <row r="5" spans="1:4" x14ac:dyDescent="0.3">
      <c r="A5" s="1"/>
      <c r="B5" s="8" t="s">
        <v>0</v>
      </c>
      <c r="C5" s="9"/>
      <c r="D5" s="9"/>
    </row>
    <row r="6" spans="1:4" x14ac:dyDescent="0.3">
      <c r="A6" s="1"/>
      <c r="B6" s="2" t="s">
        <v>1</v>
      </c>
      <c r="C6" s="2" t="s">
        <v>2</v>
      </c>
      <c r="D6" s="2" t="s">
        <v>3</v>
      </c>
    </row>
    <row r="7" spans="1:4" x14ac:dyDescent="0.3">
      <c r="A7" s="3" t="s">
        <v>4</v>
      </c>
      <c r="B7" s="4"/>
      <c r="C7" s="4"/>
      <c r="D7" s="4"/>
    </row>
    <row r="8" spans="1:4" x14ac:dyDescent="0.3">
      <c r="A8" s="3" t="s">
        <v>5</v>
      </c>
      <c r="B8" s="4"/>
      <c r="C8" s="4"/>
      <c r="D8" s="5">
        <f t="shared" ref="D8:D37" si="0">(C8)-(B8)</f>
        <v>0</v>
      </c>
    </row>
    <row r="9" spans="1:4" x14ac:dyDescent="0.3">
      <c r="A9" s="3" t="s">
        <v>6</v>
      </c>
      <c r="B9" s="5">
        <f>16000</f>
        <v>16000</v>
      </c>
      <c r="C9" s="5">
        <f>12000</f>
        <v>12000</v>
      </c>
      <c r="D9" s="5">
        <f t="shared" si="0"/>
        <v>-4000</v>
      </c>
    </row>
    <row r="10" spans="1:4" x14ac:dyDescent="0.3">
      <c r="A10" s="3" t="s">
        <v>7</v>
      </c>
      <c r="B10" s="5">
        <f>106.29</f>
        <v>106.29</v>
      </c>
      <c r="C10" s="5">
        <f>300</f>
        <v>300</v>
      </c>
      <c r="D10" s="5">
        <f t="shared" si="0"/>
        <v>193.70999999999998</v>
      </c>
    </row>
    <row r="11" spans="1:4" x14ac:dyDescent="0.3">
      <c r="A11" s="3" t="s">
        <v>8</v>
      </c>
      <c r="B11" s="5">
        <f>5406</f>
        <v>5406</v>
      </c>
      <c r="C11" s="5">
        <f>2667</f>
        <v>2667</v>
      </c>
      <c r="D11" s="5">
        <f t="shared" si="0"/>
        <v>-2739</v>
      </c>
    </row>
    <row r="12" spans="1:4" x14ac:dyDescent="0.3">
      <c r="A12" s="3" t="s">
        <v>9</v>
      </c>
      <c r="B12" s="5">
        <f>200</f>
        <v>200</v>
      </c>
      <c r="C12" s="5">
        <f>120</f>
        <v>120</v>
      </c>
      <c r="D12" s="5">
        <f t="shared" si="0"/>
        <v>-80</v>
      </c>
    </row>
    <row r="13" spans="1:4" x14ac:dyDescent="0.3">
      <c r="A13" s="3" t="s">
        <v>10</v>
      </c>
      <c r="B13" s="5">
        <f>7880</f>
        <v>7880</v>
      </c>
      <c r="C13" s="5">
        <f>20000</f>
        <v>20000</v>
      </c>
      <c r="D13" s="5">
        <f t="shared" si="0"/>
        <v>12120</v>
      </c>
    </row>
    <row r="14" spans="1:4" x14ac:dyDescent="0.3">
      <c r="A14" s="3" t="s">
        <v>11</v>
      </c>
      <c r="B14" s="5">
        <f>487</f>
        <v>487</v>
      </c>
      <c r="C14" s="5">
        <f>100</f>
        <v>100</v>
      </c>
      <c r="D14" s="5">
        <f t="shared" si="0"/>
        <v>-387</v>
      </c>
    </row>
    <row r="15" spans="1:4" x14ac:dyDescent="0.3">
      <c r="A15" s="3" t="s">
        <v>12</v>
      </c>
      <c r="B15" s="5">
        <f>641.32</f>
        <v>641.32000000000005</v>
      </c>
      <c r="C15" s="5">
        <f>0</f>
        <v>0</v>
      </c>
      <c r="D15" s="5">
        <f t="shared" si="0"/>
        <v>-641.32000000000005</v>
      </c>
    </row>
    <row r="16" spans="1:4" x14ac:dyDescent="0.3">
      <c r="A16" s="3" t="s">
        <v>13</v>
      </c>
      <c r="B16" s="5">
        <f>1744</f>
        <v>1744</v>
      </c>
      <c r="C16" s="4"/>
      <c r="D16" s="5">
        <f t="shared" si="0"/>
        <v>-1744</v>
      </c>
    </row>
    <row r="17" spans="1:4" x14ac:dyDescent="0.3">
      <c r="A17" s="3" t="s">
        <v>14</v>
      </c>
      <c r="B17" s="5">
        <f>2490</f>
        <v>2490</v>
      </c>
      <c r="C17" s="5">
        <f>300</f>
        <v>300</v>
      </c>
      <c r="D17" s="5">
        <f t="shared" si="0"/>
        <v>-2190</v>
      </c>
    </row>
    <row r="18" spans="1:4" x14ac:dyDescent="0.3">
      <c r="A18" s="3" t="s">
        <v>15</v>
      </c>
      <c r="B18" s="5">
        <f>340.13</f>
        <v>340.13</v>
      </c>
      <c r="C18" s="5">
        <f>28500</f>
        <v>28500</v>
      </c>
      <c r="D18" s="5">
        <f t="shared" si="0"/>
        <v>28159.87</v>
      </c>
    </row>
    <row r="19" spans="1:4" x14ac:dyDescent="0.3">
      <c r="A19" s="3" t="s">
        <v>16</v>
      </c>
      <c r="B19" s="5">
        <f>417.68</f>
        <v>417.68</v>
      </c>
      <c r="C19" s="4"/>
      <c r="D19" s="5">
        <f t="shared" si="0"/>
        <v>-417.68</v>
      </c>
    </row>
    <row r="20" spans="1:4" x14ac:dyDescent="0.3">
      <c r="A20" s="3" t="s">
        <v>17</v>
      </c>
      <c r="B20" s="4"/>
      <c r="C20" s="5">
        <f>1000</f>
        <v>1000</v>
      </c>
      <c r="D20" s="5">
        <f t="shared" si="0"/>
        <v>1000</v>
      </c>
    </row>
    <row r="21" spans="1:4" x14ac:dyDescent="0.3">
      <c r="A21" s="3" t="s">
        <v>18</v>
      </c>
      <c r="B21" s="4"/>
      <c r="C21" s="5">
        <f>29250</f>
        <v>29250</v>
      </c>
      <c r="D21" s="5">
        <f t="shared" si="0"/>
        <v>29250</v>
      </c>
    </row>
    <row r="22" spans="1:4" x14ac:dyDescent="0.3">
      <c r="A22" s="3" t="s">
        <v>19</v>
      </c>
      <c r="B22" s="6">
        <f>(((((((((((((B8)+(B9))+(B10))+(B11))+(B12))+(B13))+(B14))+(B15))+(B16))+(B17))+(B18))+(B19))+(B20))+(B21)</f>
        <v>35712.42</v>
      </c>
      <c r="C22" s="6">
        <f>(((((((((((((C8)+(C9))+(C10))+(C11))+(C12))+(C13))+(C14))+(C15))+(C16))+(C17))+(C18))+(C19))+(C20))+(C21)</f>
        <v>94237</v>
      </c>
      <c r="D22" s="6">
        <f t="shared" si="0"/>
        <v>58524.58</v>
      </c>
    </row>
    <row r="23" spans="1:4" x14ac:dyDescent="0.3">
      <c r="A23" s="3" t="s">
        <v>20</v>
      </c>
      <c r="B23" s="4"/>
      <c r="C23" s="4"/>
      <c r="D23" s="5">
        <f t="shared" si="0"/>
        <v>0</v>
      </c>
    </row>
    <row r="24" spans="1:4" x14ac:dyDescent="0.3">
      <c r="A24" s="3" t="s">
        <v>21</v>
      </c>
      <c r="B24" s="5">
        <f>4829.88</f>
        <v>4829.88</v>
      </c>
      <c r="C24" s="5">
        <f>0</f>
        <v>0</v>
      </c>
      <c r="D24" s="5">
        <f t="shared" si="0"/>
        <v>-4829.88</v>
      </c>
    </row>
    <row r="25" spans="1:4" x14ac:dyDescent="0.3">
      <c r="A25" s="3" t="s">
        <v>22</v>
      </c>
      <c r="B25" s="5">
        <f>21572.3</f>
        <v>21572.3</v>
      </c>
      <c r="C25" s="5">
        <f>24999.99</f>
        <v>24999.99</v>
      </c>
      <c r="D25" s="5">
        <f t="shared" si="0"/>
        <v>3427.6900000000023</v>
      </c>
    </row>
    <row r="26" spans="1:4" x14ac:dyDescent="0.3">
      <c r="A26" s="3" t="s">
        <v>23</v>
      </c>
      <c r="B26" s="4"/>
      <c r="C26" s="5">
        <f>1</f>
        <v>1</v>
      </c>
      <c r="D26" s="5">
        <f t="shared" si="0"/>
        <v>1</v>
      </c>
    </row>
    <row r="27" spans="1:4" x14ac:dyDescent="0.3">
      <c r="A27" s="3" t="s">
        <v>24</v>
      </c>
      <c r="B27" s="5">
        <f>191.85</f>
        <v>191.85</v>
      </c>
      <c r="C27" s="5">
        <f>0</f>
        <v>0</v>
      </c>
      <c r="D27" s="5">
        <f t="shared" si="0"/>
        <v>-191.85</v>
      </c>
    </row>
    <row r="28" spans="1:4" x14ac:dyDescent="0.3">
      <c r="A28" s="3" t="s">
        <v>25</v>
      </c>
      <c r="B28" s="5">
        <f>355.15</f>
        <v>355.15</v>
      </c>
      <c r="C28" s="5">
        <f>0</f>
        <v>0</v>
      </c>
      <c r="D28" s="5">
        <f t="shared" si="0"/>
        <v>-355.15</v>
      </c>
    </row>
    <row r="29" spans="1:4" x14ac:dyDescent="0.3">
      <c r="A29" s="3" t="s">
        <v>26</v>
      </c>
      <c r="B29" s="6">
        <f>(((((B23)+(B24))+(B25))+(B26))+(B27))+(B28)</f>
        <v>26949.18</v>
      </c>
      <c r="C29" s="6">
        <f>(((((C23)+(C24))+(C25))+(C26))+(C27))+(C28)</f>
        <v>25000.99</v>
      </c>
      <c r="D29" s="6">
        <f t="shared" si="0"/>
        <v>-1948.1899999999987</v>
      </c>
    </row>
    <row r="30" spans="1:4" x14ac:dyDescent="0.3">
      <c r="A30" s="3" t="s">
        <v>27</v>
      </c>
      <c r="B30" s="4"/>
      <c r="C30" s="4"/>
      <c r="D30" s="5">
        <f t="shared" si="0"/>
        <v>0</v>
      </c>
    </row>
    <row r="31" spans="1:4" x14ac:dyDescent="0.3">
      <c r="A31" s="3" t="s">
        <v>28</v>
      </c>
      <c r="B31" s="5">
        <f>14311.34</f>
        <v>14311.34</v>
      </c>
      <c r="C31" s="5">
        <f>149719</f>
        <v>149719</v>
      </c>
      <c r="D31" s="5">
        <f t="shared" si="0"/>
        <v>135407.66</v>
      </c>
    </row>
    <row r="32" spans="1:4" x14ac:dyDescent="0.3">
      <c r="A32" s="3" t="s">
        <v>29</v>
      </c>
      <c r="B32" s="6">
        <f>(B30)+(B31)</f>
        <v>14311.34</v>
      </c>
      <c r="C32" s="6">
        <f>(C30)+(C31)</f>
        <v>149719</v>
      </c>
      <c r="D32" s="6">
        <f t="shared" si="0"/>
        <v>135407.66</v>
      </c>
    </row>
    <row r="33" spans="1:4" x14ac:dyDescent="0.3">
      <c r="A33" s="3" t="s">
        <v>30</v>
      </c>
      <c r="B33" s="4"/>
      <c r="C33" s="4"/>
      <c r="D33" s="5">
        <f t="shared" si="0"/>
        <v>0</v>
      </c>
    </row>
    <row r="34" spans="1:4" x14ac:dyDescent="0.3">
      <c r="A34" s="3" t="s">
        <v>31</v>
      </c>
      <c r="B34" s="5">
        <f>857336.52</f>
        <v>857336.52</v>
      </c>
      <c r="C34" s="5">
        <f>799578.75</f>
        <v>799578.75</v>
      </c>
      <c r="D34" s="5">
        <f t="shared" si="0"/>
        <v>-57757.770000000019</v>
      </c>
    </row>
    <row r="35" spans="1:4" x14ac:dyDescent="0.3">
      <c r="A35" s="3" t="s">
        <v>32</v>
      </c>
      <c r="B35" s="6">
        <f>(B33)+(B34)</f>
        <v>857336.52</v>
      </c>
      <c r="C35" s="6">
        <f>(C33)+(C34)</f>
        <v>799578.75</v>
      </c>
      <c r="D35" s="6">
        <f t="shared" si="0"/>
        <v>-57757.770000000019</v>
      </c>
    </row>
    <row r="36" spans="1:4" x14ac:dyDescent="0.3">
      <c r="A36" s="3" t="s">
        <v>33</v>
      </c>
      <c r="B36" s="6">
        <f>(((B22)+(B29))+(B32))+(B35)</f>
        <v>934309.46</v>
      </c>
      <c r="C36" s="6">
        <f>(((C22)+(C29))+(C32))+(C35)</f>
        <v>1068535.74</v>
      </c>
      <c r="D36" s="6">
        <f t="shared" si="0"/>
        <v>134226.28000000003</v>
      </c>
    </row>
    <row r="37" spans="1:4" x14ac:dyDescent="0.3">
      <c r="A37" s="3" t="s">
        <v>34</v>
      </c>
      <c r="B37" s="6">
        <f>(B36)-(0)</f>
        <v>934309.46</v>
      </c>
      <c r="C37" s="6">
        <f>(C36)-(0)</f>
        <v>1068535.74</v>
      </c>
      <c r="D37" s="6">
        <f t="shared" si="0"/>
        <v>134226.28000000003</v>
      </c>
    </row>
    <row r="38" spans="1:4" x14ac:dyDescent="0.3">
      <c r="A38" s="3" t="s">
        <v>35</v>
      </c>
      <c r="B38" s="4"/>
      <c r="C38" s="4"/>
      <c r="D38" s="4"/>
    </row>
    <row r="39" spans="1:4" x14ac:dyDescent="0.3">
      <c r="A39" s="3" t="s">
        <v>36</v>
      </c>
      <c r="B39" s="4"/>
      <c r="C39" s="4"/>
      <c r="D39" s="5">
        <f t="shared" ref="D39:D70" si="1">(C39)-(B39)</f>
        <v>0</v>
      </c>
    </row>
    <row r="40" spans="1:4" x14ac:dyDescent="0.3">
      <c r="A40" s="3" t="s">
        <v>37</v>
      </c>
      <c r="B40" s="5">
        <f>43143.34</f>
        <v>43143.34</v>
      </c>
      <c r="C40" s="5">
        <f>64715.01</f>
        <v>64715.01</v>
      </c>
      <c r="D40" s="5">
        <f t="shared" si="1"/>
        <v>21571.670000000006</v>
      </c>
    </row>
    <row r="41" spans="1:4" x14ac:dyDescent="0.3">
      <c r="A41" s="3" t="s">
        <v>38</v>
      </c>
      <c r="B41" s="5">
        <f>177892.71</f>
        <v>177892.71</v>
      </c>
      <c r="C41" s="5">
        <f>266595</f>
        <v>266595</v>
      </c>
      <c r="D41" s="5">
        <f t="shared" si="1"/>
        <v>88702.290000000008</v>
      </c>
    </row>
    <row r="42" spans="1:4" x14ac:dyDescent="0.3">
      <c r="A42" s="3" t="s">
        <v>39</v>
      </c>
      <c r="B42" s="5">
        <f>13284.68</f>
        <v>13284.68</v>
      </c>
      <c r="C42" s="4"/>
      <c r="D42" s="5">
        <f t="shared" si="1"/>
        <v>-13284.68</v>
      </c>
    </row>
    <row r="43" spans="1:4" x14ac:dyDescent="0.3">
      <c r="A43" s="3" t="s">
        <v>40</v>
      </c>
      <c r="B43" s="5">
        <f>1132</f>
        <v>1132</v>
      </c>
      <c r="C43" s="4"/>
      <c r="D43" s="5">
        <f t="shared" si="1"/>
        <v>-1132</v>
      </c>
    </row>
    <row r="44" spans="1:4" x14ac:dyDescent="0.3">
      <c r="A44" s="3" t="s">
        <v>41</v>
      </c>
      <c r="B44" s="5">
        <f>3605.7</f>
        <v>3605.7</v>
      </c>
      <c r="C44" s="5">
        <f>3600</f>
        <v>3600</v>
      </c>
      <c r="D44" s="5">
        <f t="shared" si="1"/>
        <v>-5.6999999999998181</v>
      </c>
    </row>
    <row r="45" spans="1:4" x14ac:dyDescent="0.3">
      <c r="A45" s="3" t="s">
        <v>42</v>
      </c>
      <c r="B45" s="5">
        <f>24385.02</f>
        <v>24385.02</v>
      </c>
      <c r="C45" s="5">
        <f>56504.49</f>
        <v>56504.49</v>
      </c>
      <c r="D45" s="5">
        <f t="shared" si="1"/>
        <v>32119.469999999998</v>
      </c>
    </row>
    <row r="46" spans="1:4" x14ac:dyDescent="0.3">
      <c r="A46" s="3" t="s">
        <v>43</v>
      </c>
      <c r="B46" s="5">
        <f>11133.34</f>
        <v>11133.34</v>
      </c>
      <c r="C46" s="5">
        <f>16700.01</f>
        <v>16700.009999999998</v>
      </c>
      <c r="D46" s="5">
        <f t="shared" si="1"/>
        <v>5566.6699999999983</v>
      </c>
    </row>
    <row r="47" spans="1:4" x14ac:dyDescent="0.3">
      <c r="A47" s="3" t="s">
        <v>44</v>
      </c>
      <c r="B47" s="5">
        <f>4538.34</f>
        <v>4538.34</v>
      </c>
      <c r="C47" s="5">
        <f>6807.51</f>
        <v>6807.51</v>
      </c>
      <c r="D47" s="5">
        <f t="shared" si="1"/>
        <v>2269.17</v>
      </c>
    </row>
    <row r="48" spans="1:4" x14ac:dyDescent="0.3">
      <c r="A48" s="3" t="s">
        <v>45</v>
      </c>
      <c r="B48" s="6">
        <f>((((((((B39)+(B40))+(B41))+(B42))+(B43))+(B44))+(B45))+(B46))+(B47)</f>
        <v>279115.13000000006</v>
      </c>
      <c r="C48" s="6">
        <f>((((((((C39)+(C40))+(C41))+(C42))+(C43))+(C44))+(C45))+(C46))+(C47)</f>
        <v>414922.02</v>
      </c>
      <c r="D48" s="6">
        <f t="shared" si="1"/>
        <v>135806.88999999996</v>
      </c>
    </row>
    <row r="49" spans="1:4" x14ac:dyDescent="0.3">
      <c r="A49" s="3" t="s">
        <v>46</v>
      </c>
      <c r="B49" s="4"/>
      <c r="C49" s="4"/>
      <c r="D49" s="5">
        <f t="shared" si="1"/>
        <v>0</v>
      </c>
    </row>
    <row r="50" spans="1:4" x14ac:dyDescent="0.3">
      <c r="A50" s="3" t="s">
        <v>47</v>
      </c>
      <c r="B50" s="5">
        <f>19.8</f>
        <v>19.8</v>
      </c>
      <c r="C50" s="5">
        <f>30</f>
        <v>30</v>
      </c>
      <c r="D50" s="5">
        <f t="shared" si="1"/>
        <v>10.199999999999999</v>
      </c>
    </row>
    <row r="51" spans="1:4" x14ac:dyDescent="0.3">
      <c r="A51" s="3" t="s">
        <v>48</v>
      </c>
      <c r="B51" s="5">
        <f>2698.66</f>
        <v>2698.66</v>
      </c>
      <c r="C51" s="5">
        <f>320.01</f>
        <v>320.01</v>
      </c>
      <c r="D51" s="5">
        <f t="shared" si="1"/>
        <v>-2378.6499999999996</v>
      </c>
    </row>
    <row r="52" spans="1:4" x14ac:dyDescent="0.3">
      <c r="A52" s="3" t="s">
        <v>49</v>
      </c>
      <c r="B52" s="4"/>
      <c r="C52" s="5">
        <f>20.01</f>
        <v>20.010000000000002</v>
      </c>
      <c r="D52" s="5">
        <f t="shared" si="1"/>
        <v>20.010000000000002</v>
      </c>
    </row>
    <row r="53" spans="1:4" x14ac:dyDescent="0.3">
      <c r="A53" s="3" t="s">
        <v>50</v>
      </c>
      <c r="B53" s="5">
        <f>0</f>
        <v>0</v>
      </c>
      <c r="C53" s="5">
        <f>20.01</f>
        <v>20.010000000000002</v>
      </c>
      <c r="D53" s="5">
        <f t="shared" si="1"/>
        <v>20.010000000000002</v>
      </c>
    </row>
    <row r="54" spans="1:4" x14ac:dyDescent="0.3">
      <c r="A54" s="3" t="s">
        <v>51</v>
      </c>
      <c r="B54" s="5">
        <f>0</f>
        <v>0</v>
      </c>
      <c r="C54" s="5">
        <f>20.01</f>
        <v>20.010000000000002</v>
      </c>
      <c r="D54" s="5">
        <f t="shared" si="1"/>
        <v>20.010000000000002</v>
      </c>
    </row>
    <row r="55" spans="1:4" x14ac:dyDescent="0.3">
      <c r="A55" s="3" t="s">
        <v>52</v>
      </c>
      <c r="B55" s="5">
        <f>0</f>
        <v>0</v>
      </c>
      <c r="C55" s="5">
        <f>9.99</f>
        <v>9.99</v>
      </c>
      <c r="D55" s="5">
        <f t="shared" si="1"/>
        <v>9.99</v>
      </c>
    </row>
    <row r="56" spans="1:4" x14ac:dyDescent="0.3">
      <c r="A56" s="3" t="s">
        <v>53</v>
      </c>
      <c r="B56" s="5">
        <f>57.87</f>
        <v>57.87</v>
      </c>
      <c r="C56" s="4"/>
      <c r="D56" s="5">
        <f t="shared" si="1"/>
        <v>-57.87</v>
      </c>
    </row>
    <row r="57" spans="1:4" x14ac:dyDescent="0.3">
      <c r="A57" s="3" t="s">
        <v>54</v>
      </c>
      <c r="B57" s="5">
        <f>614.11</f>
        <v>614.11</v>
      </c>
      <c r="C57" s="5">
        <f>938.37</f>
        <v>938.37</v>
      </c>
      <c r="D57" s="5">
        <f t="shared" si="1"/>
        <v>324.26</v>
      </c>
    </row>
    <row r="58" spans="1:4" x14ac:dyDescent="0.3">
      <c r="A58" s="3" t="s">
        <v>55</v>
      </c>
      <c r="B58" s="5">
        <f>2481.15</f>
        <v>2481.15</v>
      </c>
      <c r="C58" s="5">
        <f>3865.62</f>
        <v>3865.62</v>
      </c>
      <c r="D58" s="5">
        <f t="shared" si="1"/>
        <v>1384.4699999999998</v>
      </c>
    </row>
    <row r="59" spans="1:4" x14ac:dyDescent="0.3">
      <c r="A59" s="3" t="s">
        <v>56</v>
      </c>
      <c r="B59" s="5">
        <f>486.68</f>
        <v>486.68</v>
      </c>
      <c r="C59" s="5">
        <f>819.33</f>
        <v>819.33</v>
      </c>
      <c r="D59" s="5">
        <f t="shared" si="1"/>
        <v>332.65000000000003</v>
      </c>
    </row>
    <row r="60" spans="1:4" x14ac:dyDescent="0.3">
      <c r="A60" s="3" t="s">
        <v>57</v>
      </c>
      <c r="B60" s="5">
        <f>52.3</f>
        <v>52.3</v>
      </c>
      <c r="C60" s="5">
        <f>52.2</f>
        <v>52.2</v>
      </c>
      <c r="D60" s="5">
        <f t="shared" si="1"/>
        <v>-9.9999999999994316E-2</v>
      </c>
    </row>
    <row r="61" spans="1:4" x14ac:dyDescent="0.3">
      <c r="A61" s="3" t="s">
        <v>58</v>
      </c>
      <c r="B61" s="5">
        <f>162.47</f>
        <v>162.47</v>
      </c>
      <c r="C61" s="5">
        <f>242.16</f>
        <v>242.16</v>
      </c>
      <c r="D61" s="5">
        <f t="shared" si="1"/>
        <v>79.69</v>
      </c>
    </row>
    <row r="62" spans="1:4" x14ac:dyDescent="0.3">
      <c r="A62" s="3" t="s">
        <v>59</v>
      </c>
      <c r="B62" s="5">
        <f>65.81</f>
        <v>65.81</v>
      </c>
      <c r="C62" s="5">
        <f>98.7</f>
        <v>98.7</v>
      </c>
      <c r="D62" s="5">
        <f t="shared" si="1"/>
        <v>32.89</v>
      </c>
    </row>
    <row r="63" spans="1:4" x14ac:dyDescent="0.3">
      <c r="A63" s="3" t="s">
        <v>60</v>
      </c>
      <c r="B63" s="5">
        <f>8874.21</f>
        <v>8874.2099999999991</v>
      </c>
      <c r="C63" s="5">
        <f>13525.44</f>
        <v>13525.44</v>
      </c>
      <c r="D63" s="5">
        <f t="shared" si="1"/>
        <v>4651.2300000000014</v>
      </c>
    </row>
    <row r="64" spans="1:4" x14ac:dyDescent="0.3">
      <c r="A64" s="3" t="s">
        <v>61</v>
      </c>
      <c r="B64" s="5">
        <f>35839.01</f>
        <v>35839.01</v>
      </c>
      <c r="C64" s="5">
        <f>55718.16</f>
        <v>55718.16</v>
      </c>
      <c r="D64" s="5">
        <f t="shared" si="1"/>
        <v>19879.150000000001</v>
      </c>
    </row>
    <row r="65" spans="1:4" x14ac:dyDescent="0.3">
      <c r="A65" s="3" t="s">
        <v>62</v>
      </c>
      <c r="B65" s="5">
        <f>1033.13</f>
        <v>1033.1300000000001</v>
      </c>
      <c r="C65" s="4"/>
      <c r="D65" s="5">
        <f t="shared" si="1"/>
        <v>-1033.1300000000001</v>
      </c>
    </row>
    <row r="66" spans="1:4" x14ac:dyDescent="0.3">
      <c r="A66" s="3" t="s">
        <v>63</v>
      </c>
      <c r="B66" s="5">
        <f>702.55</f>
        <v>702.55</v>
      </c>
      <c r="C66" s="5">
        <f>752.4</f>
        <v>752.4</v>
      </c>
      <c r="D66" s="5">
        <f t="shared" si="1"/>
        <v>49.850000000000023</v>
      </c>
    </row>
    <row r="67" spans="1:4" x14ac:dyDescent="0.3">
      <c r="A67" s="3" t="s">
        <v>64</v>
      </c>
      <c r="B67" s="5">
        <f>7014.92</f>
        <v>7014.92</v>
      </c>
      <c r="C67" s="5">
        <f>11809.44</f>
        <v>11809.44</v>
      </c>
      <c r="D67" s="5">
        <f t="shared" si="1"/>
        <v>4794.5200000000004</v>
      </c>
    </row>
    <row r="68" spans="1:4" x14ac:dyDescent="0.3">
      <c r="A68" s="3" t="s">
        <v>65</v>
      </c>
      <c r="B68" s="5">
        <f>2356.98</f>
        <v>2356.98</v>
      </c>
      <c r="C68" s="5">
        <f>3490.29</f>
        <v>3490.29</v>
      </c>
      <c r="D68" s="5">
        <f t="shared" si="1"/>
        <v>1133.31</v>
      </c>
    </row>
    <row r="69" spans="1:4" x14ac:dyDescent="0.3">
      <c r="A69" s="3" t="s">
        <v>66</v>
      </c>
      <c r="B69" s="5">
        <f>948.52</f>
        <v>948.52</v>
      </c>
      <c r="C69" s="5">
        <f>1422.78</f>
        <v>1422.78</v>
      </c>
      <c r="D69" s="5">
        <f t="shared" si="1"/>
        <v>474.26</v>
      </c>
    </row>
    <row r="70" spans="1:4" x14ac:dyDescent="0.3">
      <c r="A70" s="3" t="s">
        <v>67</v>
      </c>
      <c r="B70" s="5">
        <f>2943.87</f>
        <v>2943.87</v>
      </c>
      <c r="C70" s="5">
        <f>4725</f>
        <v>4725</v>
      </c>
      <c r="D70" s="5">
        <f t="shared" si="1"/>
        <v>1781.13</v>
      </c>
    </row>
    <row r="71" spans="1:4" x14ac:dyDescent="0.3">
      <c r="A71" s="3" t="s">
        <v>68</v>
      </c>
      <c r="B71" s="5">
        <f>0</f>
        <v>0</v>
      </c>
      <c r="C71" s="5">
        <f>42525</f>
        <v>42525</v>
      </c>
      <c r="D71" s="5">
        <f t="shared" ref="D71:D102" si="2">(C71)-(B71)</f>
        <v>42525</v>
      </c>
    </row>
    <row r="72" spans="1:4" x14ac:dyDescent="0.3">
      <c r="A72" s="3" t="s">
        <v>69</v>
      </c>
      <c r="B72" s="5">
        <f>20310.08</f>
        <v>20310.080000000002</v>
      </c>
      <c r="C72" s="4"/>
      <c r="D72" s="5">
        <f t="shared" si="2"/>
        <v>-20310.080000000002</v>
      </c>
    </row>
    <row r="73" spans="1:4" x14ac:dyDescent="0.3">
      <c r="A73" s="3" t="s">
        <v>70</v>
      </c>
      <c r="B73" s="5">
        <f>1060.18</f>
        <v>1060.18</v>
      </c>
      <c r="C73" s="4"/>
      <c r="D73" s="5">
        <f t="shared" si="2"/>
        <v>-1060.18</v>
      </c>
    </row>
    <row r="74" spans="1:4" x14ac:dyDescent="0.3">
      <c r="A74" s="3" t="s">
        <v>71</v>
      </c>
      <c r="B74" s="5">
        <f>3182.22</f>
        <v>3182.22</v>
      </c>
      <c r="C74" s="5">
        <f>7875</f>
        <v>7875</v>
      </c>
      <c r="D74" s="5">
        <f t="shared" si="2"/>
        <v>4692.7800000000007</v>
      </c>
    </row>
    <row r="75" spans="1:4" x14ac:dyDescent="0.3">
      <c r="A75" s="3" t="s">
        <v>72</v>
      </c>
      <c r="B75" s="5">
        <f>0</f>
        <v>0</v>
      </c>
      <c r="C75" s="5">
        <f>1575</f>
        <v>1575</v>
      </c>
      <c r="D75" s="5">
        <f t="shared" si="2"/>
        <v>1575</v>
      </c>
    </row>
    <row r="76" spans="1:4" x14ac:dyDescent="0.3">
      <c r="A76" s="3" t="s">
        <v>73</v>
      </c>
      <c r="B76" s="4"/>
      <c r="C76" s="5">
        <f>1</f>
        <v>1</v>
      </c>
      <c r="D76" s="5">
        <f t="shared" si="2"/>
        <v>1</v>
      </c>
    </row>
    <row r="77" spans="1:4" x14ac:dyDescent="0.3">
      <c r="A77" s="3" t="s">
        <v>74</v>
      </c>
      <c r="B77" s="6">
        <f>(((((((((((((((((((((((((((B49)+(B50))+(B51))+(B52))+(B53))+(B54))+(B55))+(B56))+(B57))+(B58))+(B59))+(B60))+(B61))+(B62))+(B63))+(B64))+(B65))+(B66))+(B67))+(B68))+(B69))+(B70))+(B71))+(B72))+(B73))+(B74))+(B75))+(B76)</f>
        <v>90904.52</v>
      </c>
      <c r="C77" s="6">
        <f>(((((((((((((((((((((((((((C49)+(C50))+(C51))+(C52))+(C53))+(C54))+(C55))+(C56))+(C57))+(C58))+(C59))+(C60))+(C61))+(C62))+(C63))+(C64))+(C65))+(C66))+(C67))+(C68))+(C69))+(C70))+(C71))+(C72))+(C73))+(C74))+(C75))+(C76)</f>
        <v>149855.91999999998</v>
      </c>
      <c r="D77" s="6">
        <f t="shared" si="2"/>
        <v>58951.39999999998</v>
      </c>
    </row>
    <row r="78" spans="1:4" x14ac:dyDescent="0.3">
      <c r="A78" s="3" t="s">
        <v>75</v>
      </c>
      <c r="B78" s="4"/>
      <c r="C78" s="4"/>
      <c r="D78" s="5">
        <f t="shared" si="2"/>
        <v>0</v>
      </c>
    </row>
    <row r="79" spans="1:4" x14ac:dyDescent="0.3">
      <c r="A79" s="3" t="s">
        <v>76</v>
      </c>
      <c r="B79" s="5">
        <f>252.22</f>
        <v>252.22</v>
      </c>
      <c r="C79" s="5">
        <f>324.99</f>
        <v>324.99</v>
      </c>
      <c r="D79" s="5">
        <f t="shared" si="2"/>
        <v>72.77000000000001</v>
      </c>
    </row>
    <row r="80" spans="1:4" x14ac:dyDescent="0.3">
      <c r="A80" s="3" t="s">
        <v>77</v>
      </c>
      <c r="B80" s="5">
        <f>3199.28</f>
        <v>3199.28</v>
      </c>
      <c r="C80" s="4"/>
      <c r="D80" s="5">
        <f t="shared" si="2"/>
        <v>-3199.28</v>
      </c>
    </row>
    <row r="81" spans="1:4" x14ac:dyDescent="0.3">
      <c r="A81" s="3" t="s">
        <v>78</v>
      </c>
      <c r="B81" s="5">
        <f>8501.02</f>
        <v>8501.02</v>
      </c>
      <c r="C81" s="5">
        <f>4000</f>
        <v>4000</v>
      </c>
      <c r="D81" s="5">
        <f t="shared" si="2"/>
        <v>-4501.0200000000004</v>
      </c>
    </row>
    <row r="82" spans="1:4" x14ac:dyDescent="0.3">
      <c r="A82" s="3" t="s">
        <v>79</v>
      </c>
      <c r="B82" s="5">
        <f>135</f>
        <v>135</v>
      </c>
      <c r="C82" s="5">
        <f>1749.99</f>
        <v>1749.99</v>
      </c>
      <c r="D82" s="5">
        <f t="shared" si="2"/>
        <v>1614.99</v>
      </c>
    </row>
    <row r="83" spans="1:4" x14ac:dyDescent="0.3">
      <c r="A83" s="3" t="s">
        <v>80</v>
      </c>
      <c r="B83" s="4"/>
      <c r="C83" s="5">
        <f>9000</f>
        <v>9000</v>
      </c>
      <c r="D83" s="5">
        <f t="shared" si="2"/>
        <v>9000</v>
      </c>
    </row>
    <row r="84" spans="1:4" x14ac:dyDescent="0.3">
      <c r="A84" s="3" t="s">
        <v>81</v>
      </c>
      <c r="B84" s="4"/>
      <c r="C84" s="5">
        <f>300</f>
        <v>300</v>
      </c>
      <c r="D84" s="5">
        <f t="shared" si="2"/>
        <v>300</v>
      </c>
    </row>
    <row r="85" spans="1:4" x14ac:dyDescent="0.3">
      <c r="A85" s="3" t="s">
        <v>82</v>
      </c>
      <c r="B85" s="5">
        <f>-25.9</f>
        <v>-25.9</v>
      </c>
      <c r="C85" s="5">
        <f>3000</f>
        <v>3000</v>
      </c>
      <c r="D85" s="5">
        <f t="shared" si="2"/>
        <v>3025.9</v>
      </c>
    </row>
    <row r="86" spans="1:4" x14ac:dyDescent="0.3">
      <c r="A86" s="3" t="s">
        <v>83</v>
      </c>
      <c r="B86" s="5">
        <f>150.75</f>
        <v>150.75</v>
      </c>
      <c r="C86" s="5">
        <f>324.99</f>
        <v>324.99</v>
      </c>
      <c r="D86" s="5">
        <f t="shared" si="2"/>
        <v>174.24</v>
      </c>
    </row>
    <row r="87" spans="1:4" x14ac:dyDescent="0.3">
      <c r="A87" s="3" t="s">
        <v>84</v>
      </c>
      <c r="B87" s="5">
        <f>6383.85</f>
        <v>6383.85</v>
      </c>
      <c r="C87" s="5">
        <f>75</f>
        <v>75</v>
      </c>
      <c r="D87" s="5">
        <f t="shared" si="2"/>
        <v>-6308.85</v>
      </c>
    </row>
    <row r="88" spans="1:4" x14ac:dyDescent="0.3">
      <c r="A88" s="3" t="s">
        <v>85</v>
      </c>
      <c r="B88" s="4"/>
      <c r="C88" s="5">
        <f>99.99</f>
        <v>99.99</v>
      </c>
      <c r="D88" s="5">
        <f t="shared" si="2"/>
        <v>99.99</v>
      </c>
    </row>
    <row r="89" spans="1:4" x14ac:dyDescent="0.3">
      <c r="A89" s="3" t="s">
        <v>86</v>
      </c>
      <c r="B89" s="5">
        <f>3346</f>
        <v>3346</v>
      </c>
      <c r="C89" s="5">
        <f>4500</f>
        <v>4500</v>
      </c>
      <c r="D89" s="5">
        <f t="shared" si="2"/>
        <v>1154</v>
      </c>
    </row>
    <row r="90" spans="1:4" x14ac:dyDescent="0.3">
      <c r="A90" s="3" t="s">
        <v>87</v>
      </c>
      <c r="B90" s="5">
        <f>-156.56</f>
        <v>-156.56</v>
      </c>
      <c r="C90" s="5">
        <f>3287.49</f>
        <v>3287.49</v>
      </c>
      <c r="D90" s="5">
        <f t="shared" si="2"/>
        <v>3444.0499999999997</v>
      </c>
    </row>
    <row r="91" spans="1:4" x14ac:dyDescent="0.3">
      <c r="A91" s="3" t="s">
        <v>88</v>
      </c>
      <c r="B91" s="5">
        <f>35</f>
        <v>35</v>
      </c>
      <c r="C91" s="5">
        <f>1400</f>
        <v>1400</v>
      </c>
      <c r="D91" s="5">
        <f t="shared" si="2"/>
        <v>1365</v>
      </c>
    </row>
    <row r="92" spans="1:4" x14ac:dyDescent="0.3">
      <c r="A92" s="3" t="s">
        <v>89</v>
      </c>
      <c r="B92" s="5">
        <f>1569.78</f>
        <v>1569.78</v>
      </c>
      <c r="C92" s="5">
        <f>1500</f>
        <v>1500</v>
      </c>
      <c r="D92" s="5">
        <f t="shared" si="2"/>
        <v>-69.779999999999973</v>
      </c>
    </row>
    <row r="93" spans="1:4" x14ac:dyDescent="0.3">
      <c r="A93" s="3" t="s">
        <v>90</v>
      </c>
      <c r="B93" s="5">
        <f>21607.68</f>
        <v>21607.68</v>
      </c>
      <c r="C93" s="5">
        <f>23000.01</f>
        <v>23000.01</v>
      </c>
      <c r="D93" s="5">
        <f t="shared" si="2"/>
        <v>1392.3299999999981</v>
      </c>
    </row>
    <row r="94" spans="1:4" x14ac:dyDescent="0.3">
      <c r="A94" s="3" t="s">
        <v>91</v>
      </c>
      <c r="B94" s="6">
        <f>(((((((((((((((B78)+(B79))+(B80))+(B81))+(B82))+(B83))+(B84))+(B85))+(B86))+(B87))+(B88))+(B89))+(B90))+(B91))+(B92))+(B93)</f>
        <v>44998.119999999995</v>
      </c>
      <c r="C94" s="6">
        <f>(((((((((((((((C78)+(C79))+(C80))+(C81))+(C82))+(C83))+(C84))+(C85))+(C86))+(C87))+(C88))+(C89))+(C90))+(C91))+(C92))+(C93)</f>
        <v>52562.460000000006</v>
      </c>
      <c r="D94" s="6">
        <f t="shared" si="2"/>
        <v>7564.3400000000111</v>
      </c>
    </row>
    <row r="95" spans="1:4" x14ac:dyDescent="0.3">
      <c r="A95" s="3" t="s">
        <v>92</v>
      </c>
      <c r="B95" s="4"/>
      <c r="C95" s="4"/>
      <c r="D95" s="5">
        <f t="shared" si="2"/>
        <v>0</v>
      </c>
    </row>
    <row r="96" spans="1:4" x14ac:dyDescent="0.3">
      <c r="A96" s="3" t="s">
        <v>93</v>
      </c>
      <c r="B96" s="5">
        <f>1955.67</f>
        <v>1955.67</v>
      </c>
      <c r="C96" s="5">
        <f>3000</f>
        <v>3000</v>
      </c>
      <c r="D96" s="5">
        <f t="shared" si="2"/>
        <v>1044.33</v>
      </c>
    </row>
    <row r="97" spans="1:4" x14ac:dyDescent="0.3">
      <c r="A97" s="3" t="s">
        <v>94</v>
      </c>
      <c r="B97" s="5">
        <f>1999.41</f>
        <v>1999.41</v>
      </c>
      <c r="C97" s="5">
        <f>3000</f>
        <v>3000</v>
      </c>
      <c r="D97" s="5">
        <f t="shared" si="2"/>
        <v>1000.5899999999999</v>
      </c>
    </row>
    <row r="98" spans="1:4" x14ac:dyDescent="0.3">
      <c r="A98" s="3" t="s">
        <v>95</v>
      </c>
      <c r="B98" s="4"/>
      <c r="C98" s="5">
        <f>12501</f>
        <v>12501</v>
      </c>
      <c r="D98" s="5">
        <f t="shared" si="2"/>
        <v>12501</v>
      </c>
    </row>
    <row r="99" spans="1:4" x14ac:dyDescent="0.3">
      <c r="A99" s="3" t="s">
        <v>96</v>
      </c>
      <c r="B99" s="5">
        <f>1594</f>
        <v>1594</v>
      </c>
      <c r="C99" s="5">
        <f>1000</f>
        <v>1000</v>
      </c>
      <c r="D99" s="5">
        <f t="shared" si="2"/>
        <v>-594</v>
      </c>
    </row>
    <row r="100" spans="1:4" x14ac:dyDescent="0.3">
      <c r="A100" s="3" t="s">
        <v>97</v>
      </c>
      <c r="B100" s="5">
        <f>69556.75</f>
        <v>69556.75</v>
      </c>
      <c r="C100" s="5">
        <f>77001</f>
        <v>77001</v>
      </c>
      <c r="D100" s="5">
        <f t="shared" si="2"/>
        <v>7444.25</v>
      </c>
    </row>
    <row r="101" spans="1:4" x14ac:dyDescent="0.3">
      <c r="A101" s="3" t="s">
        <v>98</v>
      </c>
      <c r="B101" s="4"/>
      <c r="C101" s="5">
        <f>6750</f>
        <v>6750</v>
      </c>
      <c r="D101" s="5">
        <f t="shared" si="2"/>
        <v>6750</v>
      </c>
    </row>
    <row r="102" spans="1:4" x14ac:dyDescent="0.3">
      <c r="A102" s="3" t="s">
        <v>99</v>
      </c>
      <c r="B102" s="5">
        <f>6820.92</f>
        <v>6820.92</v>
      </c>
      <c r="C102" s="5">
        <f>3000</f>
        <v>3000</v>
      </c>
      <c r="D102" s="5">
        <f t="shared" si="2"/>
        <v>-3820.92</v>
      </c>
    </row>
    <row r="103" spans="1:4" x14ac:dyDescent="0.3">
      <c r="A103" s="3" t="s">
        <v>100</v>
      </c>
      <c r="B103" s="5">
        <f>651</f>
        <v>651</v>
      </c>
      <c r="C103" s="4"/>
      <c r="D103" s="5">
        <f t="shared" ref="D103:D134" si="3">(C103)-(B103)</f>
        <v>-651</v>
      </c>
    </row>
    <row r="104" spans="1:4" x14ac:dyDescent="0.3">
      <c r="A104" s="3" t="s">
        <v>101</v>
      </c>
      <c r="B104" s="6">
        <f>((((((((B95)+(B96))+(B97))+(B98))+(B99))+(B100))+(B101))+(B102))+(B103)</f>
        <v>82577.75</v>
      </c>
      <c r="C104" s="6">
        <f>((((((((C95)+(C96))+(C97))+(C98))+(C99))+(C100))+(C101))+(C102))+(C103)</f>
        <v>106252</v>
      </c>
      <c r="D104" s="6">
        <f t="shared" si="3"/>
        <v>23674.25</v>
      </c>
    </row>
    <row r="105" spans="1:4" x14ac:dyDescent="0.3">
      <c r="A105" s="3" t="s">
        <v>102</v>
      </c>
      <c r="B105" s="4"/>
      <c r="C105" s="4"/>
      <c r="D105" s="5">
        <f t="shared" si="3"/>
        <v>0</v>
      </c>
    </row>
    <row r="106" spans="1:4" x14ac:dyDescent="0.3">
      <c r="A106" s="3" t="s">
        <v>103</v>
      </c>
      <c r="B106" s="5">
        <f>4705.68</f>
        <v>4705.68</v>
      </c>
      <c r="C106" s="4"/>
      <c r="D106" s="5">
        <f t="shared" si="3"/>
        <v>-4705.68</v>
      </c>
    </row>
    <row r="107" spans="1:4" x14ac:dyDescent="0.3">
      <c r="A107" s="3" t="s">
        <v>104</v>
      </c>
      <c r="B107" s="4"/>
      <c r="C107" s="5">
        <f>5751</f>
        <v>5751</v>
      </c>
      <c r="D107" s="5">
        <f t="shared" si="3"/>
        <v>5751</v>
      </c>
    </row>
    <row r="108" spans="1:4" x14ac:dyDescent="0.3">
      <c r="A108" s="3" t="s">
        <v>105</v>
      </c>
      <c r="B108" s="5">
        <f>3717.97</f>
        <v>3717.97</v>
      </c>
      <c r="C108" s="5">
        <f>1299</f>
        <v>1299</v>
      </c>
      <c r="D108" s="5">
        <f t="shared" si="3"/>
        <v>-2418.9699999999998</v>
      </c>
    </row>
    <row r="109" spans="1:4" x14ac:dyDescent="0.3">
      <c r="A109" s="3" t="s">
        <v>106</v>
      </c>
      <c r="B109" s="5">
        <f>1500</f>
        <v>1500</v>
      </c>
      <c r="C109" s="5">
        <f>5499</f>
        <v>5499</v>
      </c>
      <c r="D109" s="5">
        <f t="shared" si="3"/>
        <v>3999</v>
      </c>
    </row>
    <row r="110" spans="1:4" x14ac:dyDescent="0.3">
      <c r="A110" s="3" t="s">
        <v>107</v>
      </c>
      <c r="B110" s="4"/>
      <c r="C110" s="5">
        <f>5499</f>
        <v>5499</v>
      </c>
      <c r="D110" s="5">
        <f t="shared" si="3"/>
        <v>5499</v>
      </c>
    </row>
    <row r="111" spans="1:4" x14ac:dyDescent="0.3">
      <c r="A111" s="3" t="s">
        <v>108</v>
      </c>
      <c r="B111" s="5">
        <f>1460.7</f>
        <v>1460.7</v>
      </c>
      <c r="C111" s="5">
        <f>4500</f>
        <v>4500</v>
      </c>
      <c r="D111" s="5">
        <f t="shared" si="3"/>
        <v>3039.3</v>
      </c>
    </row>
    <row r="112" spans="1:4" x14ac:dyDescent="0.3">
      <c r="A112" s="3" t="s">
        <v>109</v>
      </c>
      <c r="B112" s="5">
        <f>1504.3</f>
        <v>1504.3</v>
      </c>
      <c r="C112" s="5">
        <f>2499</f>
        <v>2499</v>
      </c>
      <c r="D112" s="5">
        <f t="shared" si="3"/>
        <v>994.7</v>
      </c>
    </row>
    <row r="113" spans="1:4" x14ac:dyDescent="0.3">
      <c r="A113" s="3" t="s">
        <v>110</v>
      </c>
      <c r="B113" s="5">
        <f>53.97</f>
        <v>53.97</v>
      </c>
      <c r="C113" s="5">
        <f>375</f>
        <v>375</v>
      </c>
      <c r="D113" s="5">
        <f t="shared" si="3"/>
        <v>321.02999999999997</v>
      </c>
    </row>
    <row r="114" spans="1:4" x14ac:dyDescent="0.3">
      <c r="A114" s="3" t="s">
        <v>111</v>
      </c>
      <c r="B114" s="5">
        <f>-291.14</f>
        <v>-291.14</v>
      </c>
      <c r="C114" s="5">
        <f>3000</f>
        <v>3000</v>
      </c>
      <c r="D114" s="5">
        <f t="shared" si="3"/>
        <v>3291.14</v>
      </c>
    </row>
    <row r="115" spans="1:4" x14ac:dyDescent="0.3">
      <c r="A115" s="3" t="s">
        <v>112</v>
      </c>
      <c r="B115" s="4"/>
      <c r="C115" s="5">
        <f>1500</f>
        <v>1500</v>
      </c>
      <c r="D115" s="5">
        <f t="shared" si="3"/>
        <v>1500</v>
      </c>
    </row>
    <row r="116" spans="1:4" x14ac:dyDescent="0.3">
      <c r="A116" s="3" t="s">
        <v>113</v>
      </c>
      <c r="B116" s="5">
        <f>932.81</f>
        <v>932.81</v>
      </c>
      <c r="C116" s="5">
        <f>5001</f>
        <v>5001</v>
      </c>
      <c r="D116" s="5">
        <f t="shared" si="3"/>
        <v>4068.19</v>
      </c>
    </row>
    <row r="117" spans="1:4" x14ac:dyDescent="0.3">
      <c r="A117" s="3" t="s">
        <v>114</v>
      </c>
      <c r="B117" s="5">
        <f>744.35</f>
        <v>744.35</v>
      </c>
      <c r="C117" s="5">
        <f>1251</f>
        <v>1251</v>
      </c>
      <c r="D117" s="5">
        <f t="shared" si="3"/>
        <v>506.65</v>
      </c>
    </row>
    <row r="118" spans="1:4" x14ac:dyDescent="0.3">
      <c r="A118" s="3" t="s">
        <v>115</v>
      </c>
      <c r="B118" s="5">
        <f>100124.22</f>
        <v>100124.22</v>
      </c>
      <c r="C118" s="5">
        <f>99999</f>
        <v>99999</v>
      </c>
      <c r="D118" s="5">
        <f t="shared" si="3"/>
        <v>-125.22000000000116</v>
      </c>
    </row>
    <row r="119" spans="1:4" x14ac:dyDescent="0.3">
      <c r="A119" s="3" t="s">
        <v>116</v>
      </c>
      <c r="B119" s="6">
        <f>(((((((((((((B105)+(B106))+(B107))+(B108))+(B109))+(B110))+(B111))+(B112))+(B113))+(B114))+(B115))+(B116))+(B117))+(B118)</f>
        <v>114452.86</v>
      </c>
      <c r="C119" s="6">
        <f>(((((((((((((C105)+(C106))+(C107))+(C108))+(C109))+(C110))+(C111))+(C112))+(C113))+(C114))+(C115))+(C116))+(C117))+(C118)</f>
        <v>136173</v>
      </c>
      <c r="D119" s="6">
        <f t="shared" si="3"/>
        <v>21720.14</v>
      </c>
    </row>
    <row r="120" spans="1:4" x14ac:dyDescent="0.3">
      <c r="A120" s="3" t="s">
        <v>117</v>
      </c>
      <c r="B120" s="4"/>
      <c r="C120" s="4"/>
      <c r="D120" s="5">
        <f t="shared" si="3"/>
        <v>0</v>
      </c>
    </row>
    <row r="121" spans="1:4" x14ac:dyDescent="0.3">
      <c r="A121" s="3" t="s">
        <v>118</v>
      </c>
      <c r="B121" s="5">
        <f>2025.03</f>
        <v>2025.03</v>
      </c>
      <c r="C121" s="5">
        <f>4625.01</f>
        <v>4625.01</v>
      </c>
      <c r="D121" s="5">
        <f t="shared" si="3"/>
        <v>2599.9800000000005</v>
      </c>
    </row>
    <row r="122" spans="1:4" x14ac:dyDescent="0.3">
      <c r="A122" s="3" t="s">
        <v>119</v>
      </c>
      <c r="B122" s="5">
        <f>593.54</f>
        <v>593.54</v>
      </c>
      <c r="C122" s="5">
        <f>500</f>
        <v>500</v>
      </c>
      <c r="D122" s="5">
        <f t="shared" si="3"/>
        <v>-93.539999999999964</v>
      </c>
    </row>
    <row r="123" spans="1:4" x14ac:dyDescent="0.3">
      <c r="A123" s="3" t="s">
        <v>120</v>
      </c>
      <c r="B123" s="5">
        <f>534.07</f>
        <v>534.07000000000005</v>
      </c>
      <c r="C123" s="5">
        <f>6249.99</f>
        <v>6249.99</v>
      </c>
      <c r="D123" s="5">
        <f t="shared" si="3"/>
        <v>5715.92</v>
      </c>
    </row>
    <row r="124" spans="1:4" x14ac:dyDescent="0.3">
      <c r="A124" s="3" t="s">
        <v>121</v>
      </c>
      <c r="B124" s="4"/>
      <c r="C124" s="5">
        <f>500</f>
        <v>500</v>
      </c>
      <c r="D124" s="5">
        <f t="shared" si="3"/>
        <v>500</v>
      </c>
    </row>
    <row r="125" spans="1:4" x14ac:dyDescent="0.3">
      <c r="A125" s="3" t="s">
        <v>122</v>
      </c>
      <c r="B125" s="5">
        <f>749.25</f>
        <v>749.25</v>
      </c>
      <c r="C125" s="5">
        <f>100</f>
        <v>100</v>
      </c>
      <c r="D125" s="5">
        <f t="shared" si="3"/>
        <v>-649.25</v>
      </c>
    </row>
    <row r="126" spans="1:4" x14ac:dyDescent="0.3">
      <c r="A126" s="3" t="s">
        <v>123</v>
      </c>
      <c r="B126" s="5">
        <f>571.68</f>
        <v>571.67999999999995</v>
      </c>
      <c r="C126" s="5">
        <f>1000</f>
        <v>1000</v>
      </c>
      <c r="D126" s="5">
        <f t="shared" si="3"/>
        <v>428.32000000000005</v>
      </c>
    </row>
    <row r="127" spans="1:4" x14ac:dyDescent="0.3">
      <c r="A127" s="3" t="s">
        <v>124</v>
      </c>
      <c r="B127" s="5">
        <f>233.81</f>
        <v>233.81</v>
      </c>
      <c r="C127" s="5">
        <f>500</f>
        <v>500</v>
      </c>
      <c r="D127" s="5">
        <f t="shared" si="3"/>
        <v>266.19</v>
      </c>
    </row>
    <row r="128" spans="1:4" x14ac:dyDescent="0.3">
      <c r="A128" s="3" t="s">
        <v>125</v>
      </c>
      <c r="B128" s="5">
        <f>1302.54</f>
        <v>1302.54</v>
      </c>
      <c r="C128" s="5">
        <f>0</f>
        <v>0</v>
      </c>
      <c r="D128" s="5">
        <f t="shared" si="3"/>
        <v>-1302.54</v>
      </c>
    </row>
    <row r="129" spans="1:4" x14ac:dyDescent="0.3">
      <c r="A129" s="3" t="s">
        <v>126</v>
      </c>
      <c r="B129" s="5">
        <f>1983.04</f>
        <v>1983.04</v>
      </c>
      <c r="C129" s="5">
        <f>750</f>
        <v>750</v>
      </c>
      <c r="D129" s="5">
        <f t="shared" si="3"/>
        <v>-1233.04</v>
      </c>
    </row>
    <row r="130" spans="1:4" x14ac:dyDescent="0.3">
      <c r="A130" s="3" t="s">
        <v>127</v>
      </c>
      <c r="B130" s="5">
        <f>154</f>
        <v>154</v>
      </c>
      <c r="C130" s="5">
        <f>2499.99</f>
        <v>2499.9899999999998</v>
      </c>
      <c r="D130" s="5">
        <f t="shared" si="3"/>
        <v>2345.9899999999998</v>
      </c>
    </row>
    <row r="131" spans="1:4" x14ac:dyDescent="0.3">
      <c r="A131" s="3" t="s">
        <v>128</v>
      </c>
      <c r="B131" s="5">
        <f>51.52</f>
        <v>51.52</v>
      </c>
      <c r="C131" s="5">
        <f>500</f>
        <v>500</v>
      </c>
      <c r="D131" s="5">
        <f t="shared" si="3"/>
        <v>448.48</v>
      </c>
    </row>
    <row r="132" spans="1:4" x14ac:dyDescent="0.3">
      <c r="A132" s="3" t="s">
        <v>129</v>
      </c>
      <c r="B132" s="4"/>
      <c r="C132" s="5">
        <f>987.51</f>
        <v>987.51</v>
      </c>
      <c r="D132" s="5">
        <f t="shared" si="3"/>
        <v>987.51</v>
      </c>
    </row>
    <row r="133" spans="1:4" x14ac:dyDescent="0.3">
      <c r="A133" s="3" t="s">
        <v>130</v>
      </c>
      <c r="B133" s="5">
        <f>844.67</f>
        <v>844.67</v>
      </c>
      <c r="C133" s="5">
        <f>2499.99</f>
        <v>2499.9899999999998</v>
      </c>
      <c r="D133" s="5">
        <f t="shared" si="3"/>
        <v>1655.3199999999997</v>
      </c>
    </row>
    <row r="134" spans="1:4" x14ac:dyDescent="0.3">
      <c r="A134" s="3" t="s">
        <v>131</v>
      </c>
      <c r="B134" s="5">
        <f>2219.37</f>
        <v>2219.37</v>
      </c>
      <c r="C134" s="5">
        <f>1875</f>
        <v>1875</v>
      </c>
      <c r="D134" s="5">
        <f t="shared" si="3"/>
        <v>-344.36999999999989</v>
      </c>
    </row>
    <row r="135" spans="1:4" x14ac:dyDescent="0.3">
      <c r="A135" s="3" t="s">
        <v>132</v>
      </c>
      <c r="B135" s="5">
        <f>312.95</f>
        <v>312.95</v>
      </c>
      <c r="C135" s="5">
        <f>1500</f>
        <v>1500</v>
      </c>
      <c r="D135" s="5">
        <f t="shared" ref="D135:D166" si="4">(C135)-(B135)</f>
        <v>1187.05</v>
      </c>
    </row>
    <row r="136" spans="1:4" x14ac:dyDescent="0.3">
      <c r="A136" s="3" t="s">
        <v>133</v>
      </c>
      <c r="B136" s="5">
        <f>3539</f>
        <v>3539</v>
      </c>
      <c r="C136" s="5">
        <f>3875.01</f>
        <v>3875.01</v>
      </c>
      <c r="D136" s="5">
        <f t="shared" si="4"/>
        <v>336.01000000000022</v>
      </c>
    </row>
    <row r="137" spans="1:4" x14ac:dyDescent="0.3">
      <c r="A137" s="3" t="s">
        <v>134</v>
      </c>
      <c r="B137" s="4"/>
      <c r="C137" s="5">
        <f>500</f>
        <v>500</v>
      </c>
      <c r="D137" s="5">
        <f t="shared" si="4"/>
        <v>500</v>
      </c>
    </row>
    <row r="138" spans="1:4" x14ac:dyDescent="0.3">
      <c r="A138" s="3" t="s">
        <v>135</v>
      </c>
      <c r="B138" s="5">
        <f>1418.3</f>
        <v>1418.3</v>
      </c>
      <c r="C138" s="5">
        <f>1250.01</f>
        <v>1250.01</v>
      </c>
      <c r="D138" s="5">
        <f t="shared" si="4"/>
        <v>-168.28999999999996</v>
      </c>
    </row>
    <row r="139" spans="1:4" x14ac:dyDescent="0.3">
      <c r="A139" s="3" t="s">
        <v>136</v>
      </c>
      <c r="B139" s="4"/>
      <c r="C139" s="5">
        <f>999.99</f>
        <v>999.99</v>
      </c>
      <c r="D139" s="5">
        <f t="shared" si="4"/>
        <v>999.99</v>
      </c>
    </row>
    <row r="140" spans="1:4" x14ac:dyDescent="0.3">
      <c r="A140" s="3" t="s">
        <v>137</v>
      </c>
      <c r="B140" s="4"/>
      <c r="C140" s="5">
        <f>5000</f>
        <v>5000</v>
      </c>
      <c r="D140" s="5">
        <f t="shared" si="4"/>
        <v>5000</v>
      </c>
    </row>
    <row r="141" spans="1:4" x14ac:dyDescent="0.3">
      <c r="A141" s="3" t="s">
        <v>138</v>
      </c>
      <c r="B141" s="6">
        <f>((((((((((((((((((((B120)+(B121))+(B122))+(B123))+(B124))+(B125))+(B126))+(B127))+(B128))+(B129))+(B130))+(B131))+(B132))+(B133))+(B134))+(B135))+(B136))+(B137))+(B138))+(B139))+(B140)</f>
        <v>16532.77</v>
      </c>
      <c r="C141" s="6">
        <f>((((((((((((((((((((C120)+(C121))+(C122))+(C123))+(C124))+(C125))+(C126))+(C127))+(C128))+(C129))+(C130))+(C131))+(C132))+(C133))+(C134))+(C135))+(C136))+(C137))+(C138))+(C139))+(C140)</f>
        <v>35712.5</v>
      </c>
      <c r="D141" s="6">
        <f t="shared" si="4"/>
        <v>19179.73</v>
      </c>
    </row>
    <row r="142" spans="1:4" x14ac:dyDescent="0.3">
      <c r="A142" s="3" t="s">
        <v>139</v>
      </c>
      <c r="B142" s="4"/>
      <c r="C142" s="4"/>
      <c r="D142" s="5">
        <f t="shared" si="4"/>
        <v>0</v>
      </c>
    </row>
    <row r="143" spans="1:4" x14ac:dyDescent="0.3">
      <c r="A143" s="3" t="s">
        <v>140</v>
      </c>
      <c r="B143" s="4"/>
      <c r="C143" s="5">
        <f>2100</f>
        <v>2100</v>
      </c>
      <c r="D143" s="5">
        <f t="shared" si="4"/>
        <v>2100</v>
      </c>
    </row>
    <row r="144" spans="1:4" x14ac:dyDescent="0.3">
      <c r="A144" s="3" t="s">
        <v>141</v>
      </c>
      <c r="B144" s="4"/>
      <c r="C144" s="5">
        <f>50000</f>
        <v>50000</v>
      </c>
      <c r="D144" s="5">
        <f t="shared" si="4"/>
        <v>50000</v>
      </c>
    </row>
    <row r="145" spans="1:4" x14ac:dyDescent="0.3">
      <c r="A145" s="3" t="s">
        <v>142</v>
      </c>
      <c r="B145" s="4"/>
      <c r="C145" s="5">
        <f>10000</f>
        <v>10000</v>
      </c>
      <c r="D145" s="5">
        <f t="shared" si="4"/>
        <v>10000</v>
      </c>
    </row>
    <row r="146" spans="1:4" x14ac:dyDescent="0.3">
      <c r="A146" s="3" t="s">
        <v>143</v>
      </c>
      <c r="B146" s="6">
        <f>(((B142)+(B143))+(B144))+(B145)</f>
        <v>0</v>
      </c>
      <c r="C146" s="6">
        <f>(((C142)+(C143))+(C144))+(C145)</f>
        <v>62100</v>
      </c>
      <c r="D146" s="6">
        <f t="shared" si="4"/>
        <v>62100</v>
      </c>
    </row>
    <row r="147" spans="1:4" x14ac:dyDescent="0.3">
      <c r="A147" s="3" t="s">
        <v>144</v>
      </c>
      <c r="B147" s="4"/>
      <c r="C147" s="4"/>
      <c r="D147" s="5">
        <f t="shared" si="4"/>
        <v>0</v>
      </c>
    </row>
    <row r="148" spans="1:4" x14ac:dyDescent="0.3">
      <c r="A148" s="3" t="s">
        <v>145</v>
      </c>
      <c r="B148" s="5">
        <f>14485.1</f>
        <v>14485.1</v>
      </c>
      <c r="C148" s="5">
        <f>4000</f>
        <v>4000</v>
      </c>
      <c r="D148" s="5">
        <f t="shared" si="4"/>
        <v>-10485.1</v>
      </c>
    </row>
    <row r="149" spans="1:4" x14ac:dyDescent="0.3">
      <c r="A149" s="3" t="s">
        <v>146</v>
      </c>
      <c r="B149" s="6">
        <f>(B147)+(B148)</f>
        <v>14485.1</v>
      </c>
      <c r="C149" s="6">
        <f>(C147)+(C148)</f>
        <v>4000</v>
      </c>
      <c r="D149" s="6">
        <f t="shared" si="4"/>
        <v>-10485.1</v>
      </c>
    </row>
    <row r="150" spans="1:4" x14ac:dyDescent="0.3">
      <c r="A150" s="3" t="s">
        <v>147</v>
      </c>
      <c r="B150" s="6">
        <f>(((((((B48)+(B77))+(B94))+(B104))+(B119))+(B141))+(B146))+(B149)</f>
        <v>643066.25000000012</v>
      </c>
      <c r="C150" s="6">
        <f>(((((((C48)+(C77))+(C94))+(C104))+(C119))+(C141))+(C146))+(C149)</f>
        <v>961577.89999999991</v>
      </c>
      <c r="D150" s="6">
        <f t="shared" si="4"/>
        <v>318511.64999999979</v>
      </c>
    </row>
    <row r="151" spans="1:4" x14ac:dyDescent="0.3">
      <c r="A151" s="3" t="s">
        <v>148</v>
      </c>
      <c r="B151" s="6">
        <f>(B37)-(B150)</f>
        <v>291243.20999999985</v>
      </c>
      <c r="C151" s="6">
        <f>(C37)-(C150)</f>
        <v>106957.84000000008</v>
      </c>
      <c r="D151" s="6">
        <f t="shared" si="4"/>
        <v>-184285.36999999976</v>
      </c>
    </row>
    <row r="152" spans="1:4" x14ac:dyDescent="0.3">
      <c r="A152" s="3" t="s">
        <v>149</v>
      </c>
      <c r="B152" s="4"/>
      <c r="C152" s="4"/>
      <c r="D152" s="4"/>
    </row>
    <row r="153" spans="1:4" x14ac:dyDescent="0.3">
      <c r="A153" s="3" t="s">
        <v>150</v>
      </c>
      <c r="B153" s="5">
        <f>-1731.32</f>
        <v>-1731.32</v>
      </c>
      <c r="C153" s="4"/>
      <c r="D153" s="5">
        <f>(C153)-(B153)</f>
        <v>1731.32</v>
      </c>
    </row>
    <row r="154" spans="1:4" x14ac:dyDescent="0.3">
      <c r="A154" s="3" t="s">
        <v>151</v>
      </c>
      <c r="B154" s="6">
        <f>B153</f>
        <v>-1731.32</v>
      </c>
      <c r="C154" s="6">
        <f>C153</f>
        <v>0</v>
      </c>
      <c r="D154" s="6">
        <f>(C154)-(B154)</f>
        <v>1731.32</v>
      </c>
    </row>
    <row r="155" spans="1:4" x14ac:dyDescent="0.3">
      <c r="A155" s="3" t="s">
        <v>152</v>
      </c>
      <c r="B155" s="6">
        <f>(0)-(B154)</f>
        <v>1731.32</v>
      </c>
      <c r="C155" s="6">
        <f>(0)-(C154)</f>
        <v>0</v>
      </c>
      <c r="D155" s="6">
        <f>(C155)-(B155)</f>
        <v>-1731.32</v>
      </c>
    </row>
    <row r="156" spans="1:4" x14ac:dyDescent="0.3">
      <c r="A156" s="3" t="s">
        <v>153</v>
      </c>
      <c r="B156" s="7">
        <f>(B151)+(B155)</f>
        <v>292974.52999999985</v>
      </c>
      <c r="C156" s="7">
        <f>(C151)+(C155)</f>
        <v>106957.84000000008</v>
      </c>
      <c r="D156" s="7">
        <f>(C156)-(B156)</f>
        <v>-186016.68999999977</v>
      </c>
    </row>
    <row r="157" spans="1:4" x14ac:dyDescent="0.3">
      <c r="A157" s="3"/>
      <c r="B157" s="4"/>
      <c r="C157" s="4"/>
      <c r="D157" s="4"/>
    </row>
    <row r="160" spans="1:4" x14ac:dyDescent="0.3">
      <c r="A160" s="10" t="s">
        <v>154</v>
      </c>
      <c r="B160" s="11"/>
      <c r="C160" s="11"/>
      <c r="D160" s="11"/>
    </row>
  </sheetData>
  <mergeCells count="5">
    <mergeCell ref="B5:D5"/>
    <mergeCell ref="A160:D160"/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90082-8AAE-4323-88EA-CA70C5826A2F}">
  <dimension ref="A1:B49"/>
  <sheetViews>
    <sheetView workbookViewId="0">
      <selection activeCell="A16" sqref="A16"/>
    </sheetView>
  </sheetViews>
  <sheetFormatPr defaultRowHeight="14.4" x14ac:dyDescent="0.3"/>
  <cols>
    <col min="1" max="1" width="49" customWidth="1"/>
    <col min="2" max="2" width="37.77734375" customWidth="1"/>
  </cols>
  <sheetData>
    <row r="1" spans="1:2" ht="17.399999999999999" x14ac:dyDescent="0.3">
      <c r="A1" s="12" t="s">
        <v>155</v>
      </c>
      <c r="B1" s="11"/>
    </row>
    <row r="2" spans="1:2" ht="17.399999999999999" x14ac:dyDescent="0.3">
      <c r="A2" s="12" t="s">
        <v>158</v>
      </c>
      <c r="B2" s="11"/>
    </row>
    <row r="3" spans="1:2" x14ac:dyDescent="0.3">
      <c r="A3" s="13" t="s">
        <v>159</v>
      </c>
      <c r="B3" s="11"/>
    </row>
    <row r="5" spans="1:2" x14ac:dyDescent="0.3">
      <c r="A5" s="1"/>
      <c r="B5" s="2" t="s">
        <v>0</v>
      </c>
    </row>
    <row r="6" spans="1:2" x14ac:dyDescent="0.3">
      <c r="A6" s="3" t="s">
        <v>160</v>
      </c>
      <c r="B6" s="4"/>
    </row>
    <row r="7" spans="1:2" x14ac:dyDescent="0.3">
      <c r="A7" s="3" t="s">
        <v>161</v>
      </c>
      <c r="B7" s="4"/>
    </row>
    <row r="8" spans="1:2" x14ac:dyDescent="0.3">
      <c r="A8" s="3" t="s">
        <v>162</v>
      </c>
      <c r="B8" s="4"/>
    </row>
    <row r="9" spans="1:2" x14ac:dyDescent="0.3">
      <c r="A9" s="3" t="s">
        <v>163</v>
      </c>
      <c r="B9" s="5">
        <f>12267.29</f>
        <v>12267.29</v>
      </c>
    </row>
    <row r="10" spans="1:2" x14ac:dyDescent="0.3">
      <c r="A10" s="3" t="s">
        <v>164</v>
      </c>
      <c r="B10" s="5">
        <f>13125.54</f>
        <v>13125.54</v>
      </c>
    </row>
    <row r="11" spans="1:2" x14ac:dyDescent="0.3">
      <c r="A11" s="3" t="s">
        <v>165</v>
      </c>
      <c r="B11" s="7">
        <f>(B9)+(B10)</f>
        <v>25392.83</v>
      </c>
    </row>
    <row r="12" spans="1:2" x14ac:dyDescent="0.3">
      <c r="A12" s="3" t="s">
        <v>166</v>
      </c>
      <c r="B12" s="7">
        <f>B11</f>
        <v>25392.83</v>
      </c>
    </row>
    <row r="13" spans="1:2" x14ac:dyDescent="0.3">
      <c r="A13" s="3" t="s">
        <v>167</v>
      </c>
      <c r="B13" s="4"/>
    </row>
    <row r="14" spans="1:2" x14ac:dyDescent="0.3">
      <c r="A14" s="3" t="s">
        <v>168</v>
      </c>
      <c r="B14" s="5">
        <f>397875</f>
        <v>397875</v>
      </c>
    </row>
    <row r="15" spans="1:2" x14ac:dyDescent="0.3">
      <c r="A15" s="3" t="s">
        <v>169</v>
      </c>
      <c r="B15" s="5">
        <f>42000</f>
        <v>42000</v>
      </c>
    </row>
    <row r="16" spans="1:2" x14ac:dyDescent="0.3">
      <c r="A16" s="3" t="s">
        <v>170</v>
      </c>
      <c r="B16" s="5">
        <f>108505</f>
        <v>108505</v>
      </c>
    </row>
    <row r="17" spans="1:2" x14ac:dyDescent="0.3">
      <c r="A17" s="3" t="s">
        <v>171</v>
      </c>
      <c r="B17" s="5">
        <f>163849</f>
        <v>163849</v>
      </c>
    </row>
    <row r="18" spans="1:2" x14ac:dyDescent="0.3">
      <c r="A18" s="3" t="s">
        <v>172</v>
      </c>
      <c r="B18" s="4"/>
    </row>
    <row r="19" spans="1:2" x14ac:dyDescent="0.3">
      <c r="A19" s="3" t="s">
        <v>173</v>
      </c>
      <c r="B19" s="5">
        <f>5169285</f>
        <v>5169285</v>
      </c>
    </row>
    <row r="20" spans="1:2" x14ac:dyDescent="0.3">
      <c r="A20" s="3" t="s">
        <v>174</v>
      </c>
      <c r="B20" s="5">
        <f>-1364075</f>
        <v>-1364075</v>
      </c>
    </row>
    <row r="21" spans="1:2" x14ac:dyDescent="0.3">
      <c r="A21" s="3" t="s">
        <v>175</v>
      </c>
      <c r="B21" s="7">
        <f>((B18)+(B19))+(B20)</f>
        <v>3805210</v>
      </c>
    </row>
    <row r="22" spans="1:2" x14ac:dyDescent="0.3">
      <c r="A22" s="3" t="s">
        <v>176</v>
      </c>
      <c r="B22" s="4"/>
    </row>
    <row r="23" spans="1:2" x14ac:dyDescent="0.3">
      <c r="A23" s="3" t="s">
        <v>177</v>
      </c>
      <c r="B23" s="5">
        <f>111748</f>
        <v>111748</v>
      </c>
    </row>
    <row r="24" spans="1:2" x14ac:dyDescent="0.3">
      <c r="A24" s="3" t="s">
        <v>178</v>
      </c>
      <c r="B24" s="5">
        <f>-113408</f>
        <v>-113408</v>
      </c>
    </row>
    <row r="25" spans="1:2" x14ac:dyDescent="0.3">
      <c r="A25" s="3" t="s">
        <v>179</v>
      </c>
      <c r="B25" s="7">
        <f>((B22)+(B23))+(B24)</f>
        <v>-1660</v>
      </c>
    </row>
    <row r="26" spans="1:2" x14ac:dyDescent="0.3">
      <c r="A26" s="3" t="s">
        <v>180</v>
      </c>
      <c r="B26" s="7">
        <f>(((((B14)+(B15))+(B16))+(B17))+(B21))+(B25)</f>
        <v>4515779</v>
      </c>
    </row>
    <row r="27" spans="1:2" x14ac:dyDescent="0.3">
      <c r="A27" s="3" t="s">
        <v>181</v>
      </c>
      <c r="B27" s="7">
        <f>(B12)+(B26)</f>
        <v>4541171.83</v>
      </c>
    </row>
    <row r="28" spans="1:2" x14ac:dyDescent="0.3">
      <c r="A28" s="3" t="s">
        <v>182</v>
      </c>
      <c r="B28" s="4"/>
    </row>
    <row r="29" spans="1:2" x14ac:dyDescent="0.3">
      <c r="A29" s="3" t="s">
        <v>183</v>
      </c>
      <c r="B29" s="4"/>
    </row>
    <row r="30" spans="1:2" x14ac:dyDescent="0.3">
      <c r="A30" s="3" t="s">
        <v>184</v>
      </c>
      <c r="B30" s="4"/>
    </row>
    <row r="31" spans="1:2" x14ac:dyDescent="0.3">
      <c r="A31" s="3" t="s">
        <v>185</v>
      </c>
      <c r="B31" s="4"/>
    </row>
    <row r="32" spans="1:2" x14ac:dyDescent="0.3">
      <c r="A32" s="3" t="s">
        <v>186</v>
      </c>
      <c r="B32" s="5">
        <f>145340.81</f>
        <v>145340.81</v>
      </c>
    </row>
    <row r="33" spans="1:2" x14ac:dyDescent="0.3">
      <c r="A33" s="3" t="s">
        <v>187</v>
      </c>
      <c r="B33" s="5">
        <f>-0.11</f>
        <v>-0.11</v>
      </c>
    </row>
    <row r="34" spans="1:2" x14ac:dyDescent="0.3">
      <c r="A34" s="3" t="s">
        <v>188</v>
      </c>
      <c r="B34" s="7">
        <f>(B32)+(B33)</f>
        <v>145340.70000000001</v>
      </c>
    </row>
    <row r="35" spans="1:2" x14ac:dyDescent="0.3">
      <c r="A35" s="3" t="s">
        <v>189</v>
      </c>
      <c r="B35" s="7">
        <f>B34</f>
        <v>145340.70000000001</v>
      </c>
    </row>
    <row r="36" spans="1:2" x14ac:dyDescent="0.3">
      <c r="A36" s="3" t="s">
        <v>190</v>
      </c>
      <c r="B36" s="4"/>
    </row>
    <row r="37" spans="1:2" x14ac:dyDescent="0.3">
      <c r="A37" s="3" t="s">
        <v>191</v>
      </c>
      <c r="B37" s="5">
        <f>5355974</f>
        <v>5355974</v>
      </c>
    </row>
    <row r="38" spans="1:2" x14ac:dyDescent="0.3">
      <c r="A38" s="3" t="s">
        <v>192</v>
      </c>
      <c r="B38" s="7">
        <f>B37</f>
        <v>5355974</v>
      </c>
    </row>
    <row r="39" spans="1:2" x14ac:dyDescent="0.3">
      <c r="A39" s="3" t="s">
        <v>193</v>
      </c>
      <c r="B39" s="7">
        <f>(B35)+(B38)</f>
        <v>5501314.7000000002</v>
      </c>
    </row>
    <row r="40" spans="1:2" x14ac:dyDescent="0.3">
      <c r="A40" s="3" t="s">
        <v>194</v>
      </c>
      <c r="B40" s="4"/>
    </row>
    <row r="41" spans="1:2" x14ac:dyDescent="0.3">
      <c r="A41" s="3" t="s">
        <v>195</v>
      </c>
      <c r="B41" s="5">
        <f>25392</f>
        <v>25392</v>
      </c>
    </row>
    <row r="42" spans="1:2" x14ac:dyDescent="0.3">
      <c r="A42" s="3" t="s">
        <v>196</v>
      </c>
      <c r="B42" s="5">
        <f>0.4</f>
        <v>0.4</v>
      </c>
    </row>
    <row r="43" spans="1:2" x14ac:dyDescent="0.3">
      <c r="A43" s="3" t="s">
        <v>197</v>
      </c>
      <c r="B43" s="5">
        <f>24966.73</f>
        <v>24966.73</v>
      </c>
    </row>
    <row r="44" spans="1:2" x14ac:dyDescent="0.3">
      <c r="A44" s="3" t="s">
        <v>198</v>
      </c>
      <c r="B44" s="7">
        <f>((B41)+(B42))+(B43)</f>
        <v>50359.130000000005</v>
      </c>
    </row>
    <row r="45" spans="1:2" x14ac:dyDescent="0.3">
      <c r="A45" s="3" t="s">
        <v>199</v>
      </c>
      <c r="B45" s="7">
        <f>(B39)+(B44)</f>
        <v>5551673.8300000001</v>
      </c>
    </row>
    <row r="46" spans="1:2" x14ac:dyDescent="0.3">
      <c r="A46" s="3"/>
      <c r="B46" s="4"/>
    </row>
    <row r="49" spans="1:2" x14ac:dyDescent="0.3">
      <c r="A49" s="10" t="s">
        <v>200</v>
      </c>
      <c r="B49" s="11"/>
    </row>
  </sheetData>
  <mergeCells count="4">
    <mergeCell ref="A1:B1"/>
    <mergeCell ref="A2:B2"/>
    <mergeCell ref="A3:B3"/>
    <mergeCell ref="A49:B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EAEFB-FECE-40C6-B297-02D6341882F0}">
  <dimension ref="A1:B60"/>
  <sheetViews>
    <sheetView workbookViewId="0">
      <selection activeCell="A12" sqref="A12"/>
    </sheetView>
  </sheetViews>
  <sheetFormatPr defaultRowHeight="14.4" x14ac:dyDescent="0.3"/>
  <cols>
    <col min="1" max="1" width="49" customWidth="1"/>
    <col min="2" max="2" width="37.77734375" customWidth="1"/>
  </cols>
  <sheetData>
    <row r="1" spans="1:2" ht="17.399999999999999" x14ac:dyDescent="0.3">
      <c r="A1" s="12" t="s">
        <v>155</v>
      </c>
      <c r="B1" s="11"/>
    </row>
    <row r="2" spans="1:2" ht="17.399999999999999" x14ac:dyDescent="0.3">
      <c r="A2" s="12" t="s">
        <v>201</v>
      </c>
      <c r="B2" s="11"/>
    </row>
    <row r="3" spans="1:2" x14ac:dyDescent="0.3">
      <c r="A3" s="13" t="s">
        <v>159</v>
      </c>
      <c r="B3" s="11"/>
    </row>
    <row r="5" spans="1:2" x14ac:dyDescent="0.3">
      <c r="A5" s="1"/>
      <c r="B5" s="2" t="s">
        <v>0</v>
      </c>
    </row>
    <row r="6" spans="1:2" x14ac:dyDescent="0.3">
      <c r="A6" s="3" t="s">
        <v>160</v>
      </c>
      <c r="B6" s="4"/>
    </row>
    <row r="7" spans="1:2" x14ac:dyDescent="0.3">
      <c r="A7" s="3" t="s">
        <v>161</v>
      </c>
      <c r="B7" s="4"/>
    </row>
    <row r="8" spans="1:2" x14ac:dyDescent="0.3">
      <c r="A8" s="3" t="s">
        <v>162</v>
      </c>
      <c r="B8" s="4"/>
    </row>
    <row r="9" spans="1:2" x14ac:dyDescent="0.3">
      <c r="A9" s="3" t="s">
        <v>202</v>
      </c>
      <c r="B9" s="5">
        <f>2123855.32</f>
        <v>2123855.3199999998</v>
      </c>
    </row>
    <row r="10" spans="1:2" x14ac:dyDescent="0.3">
      <c r="A10" s="3" t="s">
        <v>203</v>
      </c>
      <c r="B10" s="5">
        <f>2000</f>
        <v>2000</v>
      </c>
    </row>
    <row r="11" spans="1:2" x14ac:dyDescent="0.3">
      <c r="A11" s="3" t="s">
        <v>204</v>
      </c>
      <c r="B11" s="5">
        <f>577732.69</f>
        <v>577732.68999999994</v>
      </c>
    </row>
    <row r="12" spans="1:2" x14ac:dyDescent="0.3">
      <c r="A12" s="3" t="s">
        <v>205</v>
      </c>
      <c r="B12" s="5">
        <f>28329.98</f>
        <v>28329.98</v>
      </c>
    </row>
    <row r="13" spans="1:2" x14ac:dyDescent="0.3">
      <c r="A13" s="3" t="s">
        <v>206</v>
      </c>
      <c r="B13" s="5">
        <f>930443.9</f>
        <v>930443.9</v>
      </c>
    </row>
    <row r="14" spans="1:2" x14ac:dyDescent="0.3">
      <c r="A14" s="3" t="s">
        <v>165</v>
      </c>
      <c r="B14" s="7">
        <f>SUM(B9:B13)</f>
        <v>3662361.8899999997</v>
      </c>
    </row>
    <row r="15" spans="1:2" x14ac:dyDescent="0.3">
      <c r="A15" s="3" t="s">
        <v>207</v>
      </c>
      <c r="B15" s="4"/>
    </row>
    <row r="16" spans="1:2" x14ac:dyDescent="0.3">
      <c r="A16" s="3" t="s">
        <v>208</v>
      </c>
      <c r="B16" s="5">
        <f>84458.65</f>
        <v>84458.65</v>
      </c>
    </row>
    <row r="17" spans="1:2" x14ac:dyDescent="0.3">
      <c r="A17" s="3" t="s">
        <v>209</v>
      </c>
      <c r="B17" s="7">
        <f>B16</f>
        <v>84458.65</v>
      </c>
    </row>
    <row r="18" spans="1:2" x14ac:dyDescent="0.3">
      <c r="A18" s="3" t="s">
        <v>210</v>
      </c>
      <c r="B18" s="4"/>
    </row>
    <row r="19" spans="1:2" x14ac:dyDescent="0.3">
      <c r="A19" s="3" t="s">
        <v>211</v>
      </c>
      <c r="B19" s="5">
        <f>3515.9</f>
        <v>3515.9</v>
      </c>
    </row>
    <row r="20" spans="1:2" x14ac:dyDescent="0.3">
      <c r="A20" s="3" t="s">
        <v>212</v>
      </c>
      <c r="B20" s="7">
        <f>B19</f>
        <v>3515.9</v>
      </c>
    </row>
    <row r="21" spans="1:2" x14ac:dyDescent="0.3">
      <c r="A21" s="3" t="s">
        <v>166</v>
      </c>
      <c r="B21" s="7">
        <f>((B14)+(B17))+(B20)</f>
        <v>3750336.4399999995</v>
      </c>
    </row>
    <row r="22" spans="1:2" x14ac:dyDescent="0.3">
      <c r="A22" s="3" t="s">
        <v>181</v>
      </c>
      <c r="B22" s="7">
        <f>(B21)</f>
        <v>3750336.4399999995</v>
      </c>
    </row>
    <row r="23" spans="1:2" x14ac:dyDescent="0.3">
      <c r="A23" s="3" t="s">
        <v>182</v>
      </c>
      <c r="B23" s="4"/>
    </row>
    <row r="24" spans="1:2" x14ac:dyDescent="0.3">
      <c r="A24" s="3" t="s">
        <v>183</v>
      </c>
      <c r="B24" s="4"/>
    </row>
    <row r="25" spans="1:2" x14ac:dyDescent="0.3">
      <c r="A25" s="3" t="s">
        <v>184</v>
      </c>
      <c r="B25" s="4"/>
    </row>
    <row r="26" spans="1:2" x14ac:dyDescent="0.3">
      <c r="A26" s="3" t="s">
        <v>185</v>
      </c>
      <c r="B26" s="4"/>
    </row>
    <row r="27" spans="1:2" x14ac:dyDescent="0.3">
      <c r="A27" s="3" t="s">
        <v>213</v>
      </c>
      <c r="B27" s="5">
        <f>658.86</f>
        <v>658.86</v>
      </c>
    </row>
    <row r="28" spans="1:2" x14ac:dyDescent="0.3">
      <c r="A28" s="3" t="s">
        <v>188</v>
      </c>
      <c r="B28" s="7">
        <f>B27</f>
        <v>658.86</v>
      </c>
    </row>
    <row r="29" spans="1:2" x14ac:dyDescent="0.3">
      <c r="A29" s="3" t="s">
        <v>214</v>
      </c>
      <c r="B29" s="4"/>
    </row>
    <row r="30" spans="1:2" x14ac:dyDescent="0.3">
      <c r="A30" s="3" t="s">
        <v>215</v>
      </c>
      <c r="B30" s="5">
        <f>-539</f>
        <v>-539</v>
      </c>
    </row>
    <row r="31" spans="1:2" x14ac:dyDescent="0.3">
      <c r="A31" s="3" t="s">
        <v>216</v>
      </c>
      <c r="B31" s="5">
        <f>-4279.13</f>
        <v>-4279.13</v>
      </c>
    </row>
    <row r="32" spans="1:2" x14ac:dyDescent="0.3">
      <c r="A32" s="3" t="s">
        <v>217</v>
      </c>
      <c r="B32" s="5">
        <f>2220.52</f>
        <v>2220.52</v>
      </c>
    </row>
    <row r="33" spans="1:2" x14ac:dyDescent="0.3">
      <c r="A33" s="3" t="s">
        <v>218</v>
      </c>
      <c r="B33" s="5">
        <f>3647.63</f>
        <v>3647.63</v>
      </c>
    </row>
    <row r="34" spans="1:2" x14ac:dyDescent="0.3">
      <c r="A34" s="3" t="s">
        <v>219</v>
      </c>
      <c r="B34" s="7">
        <f>(((B30)+(B31))+(B32))+(B33)</f>
        <v>1050.02</v>
      </c>
    </row>
    <row r="35" spans="1:2" x14ac:dyDescent="0.3">
      <c r="A35" s="3" t="s">
        <v>220</v>
      </c>
      <c r="B35" s="7">
        <f>B34</f>
        <v>1050.02</v>
      </c>
    </row>
    <row r="36" spans="1:2" x14ac:dyDescent="0.3">
      <c r="A36" s="3" t="s">
        <v>221</v>
      </c>
      <c r="B36" s="4"/>
    </row>
    <row r="37" spans="1:2" x14ac:dyDescent="0.3">
      <c r="A37" s="3" t="s">
        <v>222</v>
      </c>
      <c r="B37" s="5">
        <f>0</f>
        <v>0</v>
      </c>
    </row>
    <row r="38" spans="1:2" x14ac:dyDescent="0.3">
      <c r="A38" s="3" t="s">
        <v>223</v>
      </c>
      <c r="B38" s="5">
        <f>-85.8</f>
        <v>-85.8</v>
      </c>
    </row>
    <row r="39" spans="1:2" x14ac:dyDescent="0.3">
      <c r="A39" s="3" t="s">
        <v>224</v>
      </c>
      <c r="B39" s="5">
        <f>27.68</f>
        <v>27.68</v>
      </c>
    </row>
    <row r="40" spans="1:2" x14ac:dyDescent="0.3">
      <c r="A40" s="3" t="s">
        <v>225</v>
      </c>
      <c r="B40" s="5">
        <f>-1928.77</f>
        <v>-1928.77</v>
      </c>
    </row>
    <row r="41" spans="1:2" x14ac:dyDescent="0.3">
      <c r="A41" s="3" t="s">
        <v>226</v>
      </c>
      <c r="B41" s="5">
        <f>722.37</f>
        <v>722.37</v>
      </c>
    </row>
    <row r="42" spans="1:2" x14ac:dyDescent="0.3">
      <c r="A42" s="3" t="s">
        <v>227</v>
      </c>
      <c r="B42" s="5">
        <f>287.1</f>
        <v>287.10000000000002</v>
      </c>
    </row>
    <row r="43" spans="1:2" x14ac:dyDescent="0.3">
      <c r="A43" s="3" t="s">
        <v>228</v>
      </c>
      <c r="B43" s="5">
        <f>-2881.34</f>
        <v>-2881.34</v>
      </c>
    </row>
    <row r="44" spans="1:2" x14ac:dyDescent="0.3">
      <c r="A44" s="3" t="s">
        <v>229</v>
      </c>
      <c r="B44" s="5">
        <f>3.82</f>
        <v>3.82</v>
      </c>
    </row>
    <row r="45" spans="1:2" x14ac:dyDescent="0.3">
      <c r="A45" s="3" t="s">
        <v>230</v>
      </c>
      <c r="B45" s="5">
        <f>3.82</f>
        <v>3.82</v>
      </c>
    </row>
    <row r="46" spans="1:2" x14ac:dyDescent="0.3">
      <c r="A46" s="3" t="s">
        <v>231</v>
      </c>
      <c r="B46" s="5">
        <f>55.17</f>
        <v>55.17</v>
      </c>
    </row>
    <row r="47" spans="1:2" x14ac:dyDescent="0.3">
      <c r="A47" s="3" t="s">
        <v>232</v>
      </c>
      <c r="B47" s="7">
        <f>(((((((((B37)+(B38))+(B39))+(B40))+(B41))+(B42))+(B43))+(B44))+(B45))+(B46)</f>
        <v>-3795.95</v>
      </c>
    </row>
    <row r="48" spans="1:2" x14ac:dyDescent="0.3">
      <c r="A48" s="3" t="s">
        <v>233</v>
      </c>
      <c r="B48" s="7">
        <f>(B47)</f>
        <v>-3795.95</v>
      </c>
    </row>
    <row r="49" spans="1:2" x14ac:dyDescent="0.3">
      <c r="A49" s="3" t="s">
        <v>189</v>
      </c>
      <c r="B49" s="7">
        <f>((B28)+(B35))+(B48)</f>
        <v>-2087.0699999999997</v>
      </c>
    </row>
    <row r="50" spans="1:2" x14ac:dyDescent="0.3">
      <c r="A50" s="3" t="s">
        <v>193</v>
      </c>
      <c r="B50" s="7">
        <f>B49</f>
        <v>-2087.0699999999997</v>
      </c>
    </row>
    <row r="51" spans="1:2" x14ac:dyDescent="0.3">
      <c r="A51" s="3" t="s">
        <v>194</v>
      </c>
      <c r="B51" s="4"/>
    </row>
    <row r="52" spans="1:2" x14ac:dyDescent="0.3">
      <c r="A52" s="3" t="s">
        <v>234</v>
      </c>
      <c r="B52" s="5">
        <f>99000</f>
        <v>99000</v>
      </c>
    </row>
    <row r="53" spans="1:2" x14ac:dyDescent="0.3">
      <c r="A53" s="3" t="s">
        <v>196</v>
      </c>
      <c r="B53" s="5">
        <f>3339959.29</f>
        <v>3339959.29</v>
      </c>
    </row>
    <row r="54" spans="1:2" x14ac:dyDescent="0.3">
      <c r="A54" s="3" t="s">
        <v>197</v>
      </c>
      <c r="B54" s="5">
        <f>318428.23</f>
        <v>318428.23</v>
      </c>
    </row>
    <row r="55" spans="1:2" x14ac:dyDescent="0.3">
      <c r="A55" s="3" t="s">
        <v>198</v>
      </c>
      <c r="B55" s="7">
        <f>+(B52)+(B53)+(B54)</f>
        <v>3757387.52</v>
      </c>
    </row>
    <row r="56" spans="1:2" x14ac:dyDescent="0.3">
      <c r="A56" s="3" t="s">
        <v>199</v>
      </c>
      <c r="B56" s="7">
        <f>(B50)+(B55)</f>
        <v>3755300.45</v>
      </c>
    </row>
    <row r="57" spans="1:2" x14ac:dyDescent="0.3">
      <c r="A57" s="3"/>
      <c r="B57" s="4"/>
    </row>
    <row r="60" spans="1:2" x14ac:dyDescent="0.3">
      <c r="A60" s="10" t="s">
        <v>235</v>
      </c>
      <c r="B60" s="11"/>
    </row>
  </sheetData>
  <mergeCells count="4">
    <mergeCell ref="A1:B1"/>
    <mergeCell ref="A2:B2"/>
    <mergeCell ref="A3:B3"/>
    <mergeCell ref="A60:B6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6220D-7B7E-4CC3-A80E-F706D5B5EFFD}">
  <dimension ref="A1:C27"/>
  <sheetViews>
    <sheetView tabSelected="1" workbookViewId="0">
      <selection activeCell="E7" sqref="E7"/>
    </sheetView>
  </sheetViews>
  <sheetFormatPr defaultRowHeight="14.4" x14ac:dyDescent="0.3"/>
  <cols>
    <col min="1" max="1" width="34.33203125" customWidth="1"/>
    <col min="2" max="3" width="24.88671875" customWidth="1"/>
  </cols>
  <sheetData>
    <row r="1" spans="1:3" ht="17.399999999999999" x14ac:dyDescent="0.3">
      <c r="A1" s="12" t="s">
        <v>155</v>
      </c>
      <c r="B1" s="11"/>
      <c r="C1" s="11"/>
    </row>
    <row r="2" spans="1:3" ht="17.399999999999999" x14ac:dyDescent="0.3">
      <c r="A2" s="12" t="s">
        <v>236</v>
      </c>
      <c r="B2" s="11"/>
      <c r="C2" s="11"/>
    </row>
    <row r="3" spans="1:3" x14ac:dyDescent="0.3">
      <c r="A3" s="13" t="s">
        <v>157</v>
      </c>
      <c r="B3" s="11"/>
      <c r="C3" s="11"/>
    </row>
    <row r="5" spans="1:3" x14ac:dyDescent="0.3">
      <c r="A5" s="1"/>
      <c r="B5" s="2" t="s">
        <v>237</v>
      </c>
      <c r="C5" s="2" t="s">
        <v>0</v>
      </c>
    </row>
    <row r="6" spans="1:3" x14ac:dyDescent="0.3">
      <c r="A6" s="3" t="s">
        <v>4</v>
      </c>
      <c r="B6" s="4"/>
      <c r="C6" s="4"/>
    </row>
    <row r="7" spans="1:3" x14ac:dyDescent="0.3">
      <c r="A7" s="3" t="s">
        <v>238</v>
      </c>
      <c r="B7" s="5">
        <f>50374.81</f>
        <v>50374.81</v>
      </c>
      <c r="C7" s="5">
        <f>B7</f>
        <v>50374.81</v>
      </c>
    </row>
    <row r="8" spans="1:3" x14ac:dyDescent="0.3">
      <c r="A8" s="3" t="s">
        <v>239</v>
      </c>
      <c r="B8" s="5">
        <f>236.97</f>
        <v>236.97</v>
      </c>
      <c r="C8" s="5">
        <f>B8</f>
        <v>236.97</v>
      </c>
    </row>
    <row r="9" spans="1:3" x14ac:dyDescent="0.3">
      <c r="A9" s="3" t="s">
        <v>33</v>
      </c>
      <c r="B9" s="7">
        <f>(B7)+(B8)</f>
        <v>50611.78</v>
      </c>
      <c r="C9" s="7">
        <f>B9</f>
        <v>50611.78</v>
      </c>
    </row>
    <row r="10" spans="1:3" x14ac:dyDescent="0.3">
      <c r="A10" s="3" t="s">
        <v>34</v>
      </c>
      <c r="B10" s="7">
        <f>(B9)-(0)</f>
        <v>50611.78</v>
      </c>
      <c r="C10" s="7">
        <f>B10</f>
        <v>50611.78</v>
      </c>
    </row>
    <row r="11" spans="1:3" x14ac:dyDescent="0.3">
      <c r="A11" s="3" t="s">
        <v>35</v>
      </c>
      <c r="B11" s="4"/>
      <c r="C11" s="4"/>
    </row>
    <row r="12" spans="1:3" x14ac:dyDescent="0.3">
      <c r="A12" s="3" t="s">
        <v>75</v>
      </c>
      <c r="B12" s="4"/>
      <c r="C12" s="5">
        <f t="shared" ref="C12:C18" si="0">B12</f>
        <v>0</v>
      </c>
    </row>
    <row r="13" spans="1:3" x14ac:dyDescent="0.3">
      <c r="A13" s="3" t="s">
        <v>76</v>
      </c>
      <c r="B13" s="5">
        <f>250</f>
        <v>250</v>
      </c>
      <c r="C13" s="5">
        <f t="shared" si="0"/>
        <v>250</v>
      </c>
    </row>
    <row r="14" spans="1:3" x14ac:dyDescent="0.3">
      <c r="A14" s="3" t="s">
        <v>91</v>
      </c>
      <c r="B14" s="7">
        <f>(B12)+(B13)</f>
        <v>250</v>
      </c>
      <c r="C14" s="7">
        <f t="shared" si="0"/>
        <v>250</v>
      </c>
    </row>
    <row r="15" spans="1:3" x14ac:dyDescent="0.3">
      <c r="A15" s="3" t="s">
        <v>240</v>
      </c>
      <c r="B15" s="5">
        <f>9871.52</f>
        <v>9871.52</v>
      </c>
      <c r="C15" s="5">
        <f t="shared" si="0"/>
        <v>9871.52</v>
      </c>
    </row>
    <row r="16" spans="1:3" x14ac:dyDescent="0.3">
      <c r="A16" s="3" t="s">
        <v>241</v>
      </c>
      <c r="B16" s="5">
        <f>40589.99</f>
        <v>40589.99</v>
      </c>
      <c r="C16" s="5">
        <f t="shared" si="0"/>
        <v>40589.99</v>
      </c>
    </row>
    <row r="17" spans="1:3" x14ac:dyDescent="0.3">
      <c r="A17" s="3" t="s">
        <v>147</v>
      </c>
      <c r="B17" s="7">
        <f>((B14)+(B15))+(B16)</f>
        <v>50711.509999999995</v>
      </c>
      <c r="C17" s="7">
        <f t="shared" si="0"/>
        <v>50711.509999999995</v>
      </c>
    </row>
    <row r="18" spans="1:3" x14ac:dyDescent="0.3">
      <c r="A18" s="3" t="s">
        <v>148</v>
      </c>
      <c r="B18" s="7">
        <f>(B10)-(B17)</f>
        <v>-99.729999999995925</v>
      </c>
      <c r="C18" s="7">
        <f t="shared" si="0"/>
        <v>-99.729999999995925</v>
      </c>
    </row>
    <row r="19" spans="1:3" x14ac:dyDescent="0.3">
      <c r="A19" s="3" t="s">
        <v>242</v>
      </c>
      <c r="B19" s="4"/>
      <c r="C19" s="4"/>
    </row>
    <row r="20" spans="1:3" x14ac:dyDescent="0.3">
      <c r="A20" s="3" t="s">
        <v>243</v>
      </c>
      <c r="B20" s="5">
        <f>25303.43</f>
        <v>25303.43</v>
      </c>
      <c r="C20" s="5">
        <f>B20</f>
        <v>25303.43</v>
      </c>
    </row>
    <row r="21" spans="1:3" x14ac:dyDescent="0.3">
      <c r="A21" s="3" t="s">
        <v>244</v>
      </c>
      <c r="B21" s="7">
        <f>B20</f>
        <v>25303.43</v>
      </c>
      <c r="C21" s="7">
        <f>B21</f>
        <v>25303.43</v>
      </c>
    </row>
    <row r="22" spans="1:3" x14ac:dyDescent="0.3">
      <c r="A22" s="3" t="s">
        <v>152</v>
      </c>
      <c r="B22" s="7">
        <f>(B21)-(0)</f>
        <v>25303.43</v>
      </c>
      <c r="C22" s="7">
        <f>B22</f>
        <v>25303.43</v>
      </c>
    </row>
    <row r="23" spans="1:3" x14ac:dyDescent="0.3">
      <c r="A23" s="3" t="s">
        <v>153</v>
      </c>
      <c r="B23" s="7">
        <f>(B18)+(B22)</f>
        <v>25203.700000000004</v>
      </c>
      <c r="C23" s="7">
        <f>B23</f>
        <v>25203.700000000004</v>
      </c>
    </row>
    <row r="24" spans="1:3" x14ac:dyDescent="0.3">
      <c r="A24" s="3"/>
      <c r="B24" s="4"/>
      <c r="C24" s="4"/>
    </row>
    <row r="27" spans="1:3" x14ac:dyDescent="0.3">
      <c r="A27" s="10" t="s">
        <v>245</v>
      </c>
      <c r="B27" s="11"/>
      <c r="C27" s="11"/>
    </row>
  </sheetData>
  <mergeCells count="4">
    <mergeCell ref="A1:C1"/>
    <mergeCell ref="A2:C2"/>
    <mergeCell ref="A3:C3"/>
    <mergeCell ref="A27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PPSEL P&amp;L</vt:lpstr>
      <vt:lpstr>PPSEL Bldg Corp Balance Sheet</vt:lpstr>
      <vt:lpstr>PPSEL Balance Sheet</vt:lpstr>
      <vt:lpstr>PPSEL Bldg Corp P&amp;L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jodip</cp:lastModifiedBy>
  <dcterms:created xsi:type="dcterms:W3CDTF">2021-11-17T21:47:27Z</dcterms:created>
  <dcterms:modified xsi:type="dcterms:W3CDTF">2021-11-17T21:58:54Z</dcterms:modified>
</cp:coreProperties>
</file>