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n/Desktop/"/>
    </mc:Choice>
  </mc:AlternateContent>
  <xr:revisionPtr revIDLastSave="0" documentId="13_ncr:1_{CA2A7359-C9A1-564C-8970-E0BA30F939B4}" xr6:coauthVersionLast="47" xr6:coauthVersionMax="47" xr10:uidLastSave="{00000000-0000-0000-0000-000000000000}"/>
  <bookViews>
    <workbookView xWindow="3820" yWindow="1020" windowWidth="29260" windowHeight="18700" tabRatio="859" activeTab="2" xr2:uid="{00000000-000D-0000-FFFF-FFFF00000000}"/>
  </bookViews>
  <sheets>
    <sheet name="FY24 PPSEL Supplemental" sheetId="7" state="hidden" r:id="rId1"/>
    <sheet name="FY24 PPSEL Supp Summary" sheetId="1" state="hidden" r:id="rId2"/>
    <sheet name="Uniform Budget Summary" sheetId="5" r:id="rId3"/>
  </sheets>
  <definedNames>
    <definedName name="_xlnm.Print_Area" localSheetId="1">'FY24 PPSEL Supp Summary'!$A$1:$G$199</definedName>
    <definedName name="_xlnm.Print_Area" localSheetId="0">'FY24 PPSEL Supplemental'!$A$1:$G$199</definedName>
    <definedName name="_xlnm.Print_Area" localSheetId="2">'Uniform Budget Summary'!$A$1:$AD$200</definedName>
    <definedName name="_xlnm.Print_Titles" localSheetId="2">'Uniform Budget Summary'!$1:$2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4" i="7" l="1"/>
  <c r="C214" i="7"/>
  <c r="D214" i="7" s="1"/>
  <c r="E214" i="7" s="1"/>
  <c r="F214" i="7" s="1"/>
  <c r="B214" i="7"/>
  <c r="F212" i="7"/>
  <c r="E212" i="7"/>
  <c r="D212" i="7"/>
  <c r="C212" i="7"/>
  <c r="B212" i="7"/>
  <c r="G211" i="7"/>
  <c r="G210" i="7"/>
  <c r="G209" i="7"/>
  <c r="G208" i="7"/>
  <c r="G207" i="7"/>
  <c r="G206" i="7"/>
  <c r="G212" i="7" s="1"/>
  <c r="B203" i="7"/>
  <c r="C202" i="7"/>
  <c r="C203" i="7" s="1"/>
  <c r="B202" i="7"/>
  <c r="G196" i="7"/>
  <c r="F196" i="7"/>
  <c r="E196" i="7"/>
  <c r="D196" i="7"/>
  <c r="C196" i="7"/>
  <c r="B196" i="7"/>
  <c r="G192" i="7"/>
  <c r="F192" i="7"/>
  <c r="E192" i="7"/>
  <c r="D192" i="7"/>
  <c r="B192" i="7"/>
  <c r="C191" i="7"/>
  <c r="C192" i="7" s="1"/>
  <c r="G184" i="7"/>
  <c r="F184" i="7"/>
  <c r="D184" i="7"/>
  <c r="E183" i="7"/>
  <c r="B182" i="7"/>
  <c r="B181" i="7"/>
  <c r="C174" i="7"/>
  <c r="C184" i="7" s="1"/>
  <c r="B165" i="7"/>
  <c r="B184" i="7" s="1"/>
  <c r="E164" i="7"/>
  <c r="E184" i="7" s="1"/>
  <c r="B164" i="7"/>
  <c r="B163" i="7"/>
  <c r="F161" i="7"/>
  <c r="E161" i="7"/>
  <c r="D161" i="7"/>
  <c r="C161" i="7"/>
  <c r="G158" i="7"/>
  <c r="G161" i="7" s="1"/>
  <c r="B149" i="7"/>
  <c r="B148" i="7"/>
  <c r="B147" i="7"/>
  <c r="B161" i="7" s="1"/>
  <c r="G145" i="7"/>
  <c r="F145" i="7"/>
  <c r="E145" i="7"/>
  <c r="D145" i="7"/>
  <c r="C144" i="7"/>
  <c r="G142" i="7"/>
  <c r="D142" i="7"/>
  <c r="C142" i="7"/>
  <c r="C145" i="7" s="1"/>
  <c r="B142" i="7"/>
  <c r="B145" i="7" s="1"/>
  <c r="G137" i="7"/>
  <c r="F137" i="7"/>
  <c r="E137" i="7"/>
  <c r="D137" i="7"/>
  <c r="B133" i="7"/>
  <c r="C132" i="7"/>
  <c r="C137" i="7" s="1"/>
  <c r="B132" i="7"/>
  <c r="B137" i="7" s="1"/>
  <c r="B197" i="7" s="1"/>
  <c r="G131" i="7"/>
  <c r="B131" i="7"/>
  <c r="B129" i="7"/>
  <c r="B128" i="7"/>
  <c r="B127" i="7"/>
  <c r="B126" i="7"/>
  <c r="B122" i="7"/>
  <c r="B121" i="7"/>
  <c r="B120" i="7"/>
  <c r="B119" i="7"/>
  <c r="C118" i="7"/>
  <c r="B118" i="7"/>
  <c r="B117" i="7"/>
  <c r="G116" i="7"/>
  <c r="F116" i="7"/>
  <c r="E116" i="7"/>
  <c r="D116" i="7"/>
  <c r="B116" i="7"/>
  <c r="G114" i="7"/>
  <c r="G110" i="7"/>
  <c r="G109" i="7"/>
  <c r="G108" i="7"/>
  <c r="C106" i="7"/>
  <c r="C116" i="7" s="1"/>
  <c r="E105" i="7"/>
  <c r="I104" i="7"/>
  <c r="I96" i="7"/>
  <c r="I85" i="7"/>
  <c r="I73" i="7"/>
  <c r="G63" i="7"/>
  <c r="F63" i="7"/>
  <c r="F197" i="7" s="1"/>
  <c r="F199" i="7" s="1"/>
  <c r="E63" i="7"/>
  <c r="E197" i="7" s="1"/>
  <c r="C63" i="7"/>
  <c r="B63" i="7"/>
  <c r="D50" i="7"/>
  <c r="D63" i="7" s="1"/>
  <c r="D197" i="7" s="1"/>
  <c r="G48" i="7"/>
  <c r="F44" i="7"/>
  <c r="E43" i="7"/>
  <c r="D43" i="7"/>
  <c r="C43" i="7"/>
  <c r="B43" i="7"/>
  <c r="G40" i="7"/>
  <c r="E40" i="7"/>
  <c r="D40" i="7"/>
  <c r="C40" i="7"/>
  <c r="B40" i="7"/>
  <c r="G33" i="7"/>
  <c r="D33" i="7"/>
  <c r="C33" i="7"/>
  <c r="B33" i="7"/>
  <c r="E27" i="7"/>
  <c r="E33" i="7" s="1"/>
  <c r="G22" i="7"/>
  <c r="E22" i="7"/>
  <c r="E44" i="7" s="1"/>
  <c r="D22" i="7"/>
  <c r="D44" i="7" s="1"/>
  <c r="D199" i="7" s="1"/>
  <c r="C22" i="7"/>
  <c r="C44" i="7" s="1"/>
  <c r="B21" i="7"/>
  <c r="B20" i="7"/>
  <c r="C18" i="7"/>
  <c r="B18" i="7"/>
  <c r="B22" i="7" s="1"/>
  <c r="B44" i="7" s="1"/>
  <c r="E17" i="7"/>
  <c r="G2" i="7"/>
  <c r="G42" i="7" s="1"/>
  <c r="G43" i="7" s="1"/>
  <c r="G197" i="7" l="1"/>
  <c r="B199" i="7"/>
  <c r="C197" i="7"/>
  <c r="C199" i="7"/>
  <c r="E199" i="7"/>
  <c r="G44" i="7"/>
  <c r="D202" i="7"/>
  <c r="D2" i="7"/>
  <c r="E202" i="7"/>
  <c r="E203" i="7" s="1"/>
  <c r="F202" i="7"/>
  <c r="F203" i="7" s="1"/>
  <c r="G158" i="1"/>
  <c r="G161" i="1" s="1"/>
  <c r="G142" i="1"/>
  <c r="G145" i="1" s="1"/>
  <c r="F196" i="1"/>
  <c r="G196" i="1"/>
  <c r="F192" i="1"/>
  <c r="G192" i="1"/>
  <c r="F184" i="1"/>
  <c r="G184" i="1"/>
  <c r="F161" i="1"/>
  <c r="F145" i="1"/>
  <c r="F137" i="1"/>
  <c r="F116" i="1"/>
  <c r="F63" i="1"/>
  <c r="F44" i="1"/>
  <c r="G131" i="1"/>
  <c r="G137" i="1" s="1"/>
  <c r="G108" i="1"/>
  <c r="G114" i="1"/>
  <c r="G110" i="1"/>
  <c r="G109" i="1"/>
  <c r="G116" i="1" s="1"/>
  <c r="G48" i="1"/>
  <c r="G63" i="1" s="1"/>
  <c r="G214" i="1"/>
  <c r="G208" i="1"/>
  <c r="G207" i="1"/>
  <c r="G209" i="1"/>
  <c r="G210" i="1"/>
  <c r="G211" i="1"/>
  <c r="G206" i="1"/>
  <c r="C196" i="1"/>
  <c r="D196" i="1"/>
  <c r="E196" i="1"/>
  <c r="B196" i="1"/>
  <c r="E212" i="1"/>
  <c r="F212" i="1"/>
  <c r="D212" i="1"/>
  <c r="D142" i="1"/>
  <c r="D116" i="1"/>
  <c r="G2" i="1"/>
  <c r="D2" i="1" s="1"/>
  <c r="D50" i="1"/>
  <c r="G199" i="7" l="1"/>
  <c r="G202" i="7" s="1"/>
  <c r="G203" i="7" s="1"/>
  <c r="D203" i="7"/>
  <c r="G197" i="1"/>
  <c r="F197" i="1"/>
  <c r="F199" i="1" s="1"/>
  <c r="G212" i="1"/>
  <c r="D191" i="5"/>
  <c r="D195" i="5"/>
  <c r="D159" i="5"/>
  <c r="D42" i="5"/>
  <c r="D25" i="5"/>
  <c r="D61" i="5"/>
  <c r="D78" i="5"/>
  <c r="D34" i="5"/>
  <c r="D79" i="5"/>
  <c r="D106" i="5"/>
  <c r="D63" i="5"/>
  <c r="D62" i="5"/>
  <c r="D26" i="5"/>
  <c r="D114" i="5"/>
  <c r="D105" i="5"/>
  <c r="D60" i="5"/>
  <c r="U193" i="5"/>
  <c r="D179" i="5"/>
  <c r="D31" i="5"/>
  <c r="B202" i="1"/>
  <c r="C214" i="1"/>
  <c r="D214" i="1" s="1"/>
  <c r="E214" i="1" s="1"/>
  <c r="F214" i="1" s="1"/>
  <c r="B214" i="1"/>
  <c r="C202" i="1"/>
  <c r="G42" i="1" l="1"/>
  <c r="C203" i="1"/>
  <c r="B203" i="1"/>
  <c r="B212" i="1"/>
  <c r="C212" i="1"/>
  <c r="U77" i="5"/>
  <c r="C191" i="1"/>
  <c r="C192" i="1" s="1"/>
  <c r="C174" i="1"/>
  <c r="C184" i="1" s="1"/>
  <c r="C142" i="1"/>
  <c r="C144" i="1"/>
  <c r="D69" i="5"/>
  <c r="D33" i="5"/>
  <c r="D51" i="5"/>
  <c r="C132" i="1"/>
  <c r="C118" i="1"/>
  <c r="C106" i="1"/>
  <c r="C116" i="1" s="1"/>
  <c r="C63" i="1"/>
  <c r="E43" i="1"/>
  <c r="D43" i="1"/>
  <c r="C43" i="1"/>
  <c r="D22" i="1"/>
  <c r="C33" i="1"/>
  <c r="D33" i="1"/>
  <c r="C40" i="1"/>
  <c r="D40" i="1"/>
  <c r="E40" i="1"/>
  <c r="H9" i="5"/>
  <c r="C18" i="1"/>
  <c r="C22" i="1" s="1"/>
  <c r="D192" i="1"/>
  <c r="E192" i="1"/>
  <c r="D184" i="1"/>
  <c r="C161" i="1"/>
  <c r="D161" i="1"/>
  <c r="E161" i="1"/>
  <c r="D145" i="1"/>
  <c r="E145" i="1"/>
  <c r="D137" i="1"/>
  <c r="E137" i="1"/>
  <c r="D63" i="1"/>
  <c r="E63" i="1"/>
  <c r="H77" i="5"/>
  <c r="D95" i="5"/>
  <c r="D77" i="5"/>
  <c r="B33" i="1"/>
  <c r="D197" i="1" l="1"/>
  <c r="D44" i="1"/>
  <c r="D14" i="5"/>
  <c r="U80" i="5"/>
  <c r="H8" i="5"/>
  <c r="C44" i="1"/>
  <c r="C145" i="1"/>
  <c r="C137" i="1"/>
  <c r="E183" i="1"/>
  <c r="C197" i="1" l="1"/>
  <c r="C199" i="1" s="1"/>
  <c r="U6" i="5"/>
  <c r="D6" i="5"/>
  <c r="D199" i="1"/>
  <c r="E17" i="1"/>
  <c r="E22" i="1" s="1"/>
  <c r="E27" i="1"/>
  <c r="E33" i="1" s="1"/>
  <c r="E105" i="1"/>
  <c r="E116" i="1" s="1"/>
  <c r="E164" i="1"/>
  <c r="E184" i="1" s="1"/>
  <c r="E44" i="1" l="1"/>
  <c r="D202" i="1"/>
  <c r="E197" i="1"/>
  <c r="D203" i="1" l="1"/>
  <c r="E199" i="1"/>
  <c r="E202" i="1" s="1"/>
  <c r="B142" i="1"/>
  <c r="B145" i="1" s="1"/>
  <c r="B165" i="1"/>
  <c r="B182" i="1"/>
  <c r="B181" i="1"/>
  <c r="B164" i="1"/>
  <c r="B163" i="1"/>
  <c r="B149" i="1"/>
  <c r="B148" i="1"/>
  <c r="B147" i="1"/>
  <c r="B192" i="1"/>
  <c r="B118" i="1"/>
  <c r="B133" i="1"/>
  <c r="B132" i="1"/>
  <c r="B131" i="1"/>
  <c r="B129" i="1"/>
  <c r="B128" i="1"/>
  <c r="B127" i="1"/>
  <c r="B126" i="1"/>
  <c r="B122" i="1"/>
  <c r="B121" i="1"/>
  <c r="B120" i="1"/>
  <c r="B119" i="1"/>
  <c r="B117" i="1"/>
  <c r="B116" i="1"/>
  <c r="B63" i="1"/>
  <c r="B43" i="1"/>
  <c r="B40" i="1"/>
  <c r="B18" i="1"/>
  <c r="B21" i="1"/>
  <c r="B20" i="1"/>
  <c r="G40" i="1"/>
  <c r="G33" i="1"/>
  <c r="E203" i="1" l="1"/>
  <c r="B137" i="1"/>
  <c r="B161" i="1"/>
  <c r="B184" i="1"/>
  <c r="B22" i="1"/>
  <c r="B44" i="1" s="1"/>
  <c r="G22" i="1"/>
  <c r="B197" i="1" l="1"/>
  <c r="B199" i="1" s="1"/>
  <c r="D24" i="5" l="1"/>
  <c r="D102" i="5"/>
  <c r="D103" i="5"/>
  <c r="H22" i="5" l="1"/>
  <c r="H28" i="5" s="1"/>
  <c r="AD179" i="5"/>
  <c r="AC195" i="5"/>
  <c r="AC199" i="5" s="1"/>
  <c r="AB195" i="5"/>
  <c r="AB199" i="5" s="1"/>
  <c r="AA195" i="5"/>
  <c r="AA199" i="5" s="1"/>
  <c r="Z195" i="5"/>
  <c r="Z199" i="5" s="1"/>
  <c r="Y195" i="5"/>
  <c r="Y199" i="5" s="1"/>
  <c r="X195" i="5"/>
  <c r="X199" i="5" s="1"/>
  <c r="W195" i="5"/>
  <c r="W199" i="5" s="1"/>
  <c r="V195" i="5"/>
  <c r="V199" i="5" s="1"/>
  <c r="U195" i="5"/>
  <c r="T195" i="5"/>
  <c r="T199" i="5" s="1"/>
  <c r="S195" i="5"/>
  <c r="S199" i="5" s="1"/>
  <c r="R195" i="5"/>
  <c r="R199" i="5" s="1"/>
  <c r="Q195" i="5"/>
  <c r="Q199" i="5" s="1"/>
  <c r="P195" i="5"/>
  <c r="P199" i="5" s="1"/>
  <c r="O195" i="5"/>
  <c r="O199" i="5" s="1"/>
  <c r="N195" i="5"/>
  <c r="N199" i="5" s="1"/>
  <c r="M195" i="5"/>
  <c r="M199" i="5" s="1"/>
  <c r="L195" i="5"/>
  <c r="L199" i="5" s="1"/>
  <c r="K195" i="5"/>
  <c r="K199" i="5" s="1"/>
  <c r="J195" i="5"/>
  <c r="J199" i="5" s="1"/>
  <c r="I195" i="5"/>
  <c r="I199" i="5" s="1"/>
  <c r="H195" i="5"/>
  <c r="H199" i="5" s="1"/>
  <c r="G195" i="5"/>
  <c r="G199" i="5" s="1"/>
  <c r="F195" i="5"/>
  <c r="F199" i="5" s="1"/>
  <c r="E195" i="5"/>
  <c r="E199" i="5" s="1"/>
  <c r="C195" i="5"/>
  <c r="C199" i="5" s="1"/>
  <c r="AD194" i="5"/>
  <c r="AD193" i="5"/>
  <c r="AD192" i="5"/>
  <c r="AD191" i="5"/>
  <c r="AD190" i="5"/>
  <c r="AD189" i="5"/>
  <c r="AD188" i="5"/>
  <c r="AD187" i="5"/>
  <c r="AD186" i="5"/>
  <c r="AD185" i="5"/>
  <c r="AD184" i="5"/>
  <c r="AD183" i="5"/>
  <c r="AD182" i="5"/>
  <c r="AD181" i="5"/>
  <c r="AD180" i="5"/>
  <c r="AC174" i="5"/>
  <c r="AB174" i="5"/>
  <c r="AA174" i="5"/>
  <c r="Z174" i="5"/>
  <c r="Y174" i="5"/>
  <c r="X174" i="5"/>
  <c r="W174" i="5"/>
  <c r="V174" i="5"/>
  <c r="U174" i="5"/>
  <c r="T174" i="5"/>
  <c r="S174" i="5"/>
  <c r="R174" i="5"/>
  <c r="Q174" i="5"/>
  <c r="P174" i="5"/>
  <c r="O174" i="5"/>
  <c r="N174" i="5"/>
  <c r="M174" i="5"/>
  <c r="L174" i="5"/>
  <c r="K174" i="5"/>
  <c r="J174" i="5"/>
  <c r="I174" i="5"/>
  <c r="H174" i="5"/>
  <c r="G174" i="5"/>
  <c r="F174" i="5"/>
  <c r="E174" i="5"/>
  <c r="D174" i="5"/>
  <c r="C174" i="5"/>
  <c r="AD173" i="5"/>
  <c r="AD172" i="5"/>
  <c r="AD171" i="5"/>
  <c r="AD170" i="5"/>
  <c r="AD169" i="5"/>
  <c r="AD168" i="5"/>
  <c r="AC163" i="5"/>
  <c r="AB163" i="5"/>
  <c r="AA163" i="5"/>
  <c r="Z163" i="5"/>
  <c r="Y163" i="5"/>
  <c r="X163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C163" i="5"/>
  <c r="AD162" i="5"/>
  <c r="AD161" i="5"/>
  <c r="AD160" i="5"/>
  <c r="D163" i="5"/>
  <c r="AD158" i="5"/>
  <c r="AD157" i="5"/>
  <c r="AC154" i="5"/>
  <c r="AB154" i="5"/>
  <c r="AA154" i="5"/>
  <c r="Z154" i="5"/>
  <c r="Y154" i="5"/>
  <c r="X154" i="5"/>
  <c r="W154" i="5"/>
  <c r="V154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AD153" i="5"/>
  <c r="AD152" i="5"/>
  <c r="AD151" i="5"/>
  <c r="AD150" i="5"/>
  <c r="AD149" i="5"/>
  <c r="AD148" i="5"/>
  <c r="AC143" i="5"/>
  <c r="AB143" i="5"/>
  <c r="AA143" i="5"/>
  <c r="Z143" i="5"/>
  <c r="Y143" i="5"/>
  <c r="X143" i="5"/>
  <c r="W143" i="5"/>
  <c r="V143" i="5"/>
  <c r="U143" i="5"/>
  <c r="T143" i="5"/>
  <c r="S143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AD142" i="5"/>
  <c r="AD141" i="5"/>
  <c r="AD140" i="5"/>
  <c r="AD139" i="5"/>
  <c r="AD138" i="5"/>
  <c r="AD137" i="5"/>
  <c r="AC134" i="5"/>
  <c r="AB134" i="5"/>
  <c r="AA134" i="5"/>
  <c r="Z134" i="5"/>
  <c r="Y134" i="5"/>
  <c r="X134" i="5"/>
  <c r="W134" i="5"/>
  <c r="V134" i="5"/>
  <c r="U134" i="5"/>
  <c r="T134" i="5"/>
  <c r="S134" i="5"/>
  <c r="R134" i="5"/>
  <c r="Q134" i="5"/>
  <c r="P134" i="5"/>
  <c r="O134" i="5"/>
  <c r="N134" i="5"/>
  <c r="M134" i="5"/>
  <c r="L134" i="5"/>
  <c r="K134" i="5"/>
  <c r="J134" i="5"/>
  <c r="I134" i="5"/>
  <c r="H134" i="5"/>
  <c r="G134" i="5"/>
  <c r="F134" i="5"/>
  <c r="E134" i="5"/>
  <c r="D134" i="5"/>
  <c r="C134" i="5"/>
  <c r="AD133" i="5"/>
  <c r="AD132" i="5"/>
  <c r="AD131" i="5"/>
  <c r="AD130" i="5"/>
  <c r="AD129" i="5"/>
  <c r="AD128" i="5"/>
  <c r="AC125" i="5"/>
  <c r="AB125" i="5"/>
  <c r="AA125" i="5"/>
  <c r="Z125" i="5"/>
  <c r="Y125" i="5"/>
  <c r="X125" i="5"/>
  <c r="W125" i="5"/>
  <c r="V125" i="5"/>
  <c r="U125" i="5"/>
  <c r="T125" i="5"/>
  <c r="S125" i="5"/>
  <c r="R125" i="5"/>
  <c r="Q125" i="5"/>
  <c r="P125" i="5"/>
  <c r="O125" i="5"/>
  <c r="N125" i="5"/>
  <c r="M125" i="5"/>
  <c r="L125" i="5"/>
  <c r="K125" i="5"/>
  <c r="J125" i="5"/>
  <c r="I125" i="5"/>
  <c r="H125" i="5"/>
  <c r="G125" i="5"/>
  <c r="F125" i="5"/>
  <c r="E125" i="5"/>
  <c r="D125" i="5"/>
  <c r="C125" i="5"/>
  <c r="AD124" i="5"/>
  <c r="AD123" i="5"/>
  <c r="AD122" i="5"/>
  <c r="AD121" i="5"/>
  <c r="AD120" i="5"/>
  <c r="AD119" i="5"/>
  <c r="AC117" i="5"/>
  <c r="AB117" i="5"/>
  <c r="AA117" i="5"/>
  <c r="Z117" i="5"/>
  <c r="Y117" i="5"/>
  <c r="X117" i="5"/>
  <c r="W117" i="5"/>
  <c r="V117" i="5"/>
  <c r="U117" i="5"/>
  <c r="T117" i="5"/>
  <c r="S117" i="5"/>
  <c r="R117" i="5"/>
  <c r="Q117" i="5"/>
  <c r="P117" i="5"/>
  <c r="O117" i="5"/>
  <c r="N117" i="5"/>
  <c r="M117" i="5"/>
  <c r="L117" i="5"/>
  <c r="K117" i="5"/>
  <c r="J117" i="5"/>
  <c r="I117" i="5"/>
  <c r="H117" i="5"/>
  <c r="G117" i="5"/>
  <c r="F117" i="5"/>
  <c r="E117" i="5"/>
  <c r="C117" i="5"/>
  <c r="AD116" i="5"/>
  <c r="AD115" i="5"/>
  <c r="AD114" i="5"/>
  <c r="AD113" i="5"/>
  <c r="AD112" i="5"/>
  <c r="AD111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C108" i="5"/>
  <c r="AD107" i="5"/>
  <c r="AD106" i="5"/>
  <c r="AD105" i="5"/>
  <c r="AD104" i="5"/>
  <c r="AD103" i="5"/>
  <c r="AD102" i="5"/>
  <c r="AC99" i="5"/>
  <c r="AB99" i="5"/>
  <c r="AA99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AD98" i="5"/>
  <c r="AD97" i="5"/>
  <c r="AD96" i="5"/>
  <c r="AD95" i="5"/>
  <c r="AD94" i="5"/>
  <c r="AD93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AD89" i="5"/>
  <c r="AD88" i="5"/>
  <c r="AD87" i="5"/>
  <c r="AD86" i="5"/>
  <c r="AD85" i="5"/>
  <c r="AD84" i="5"/>
  <c r="AC81" i="5"/>
  <c r="AB81" i="5"/>
  <c r="AA81" i="5"/>
  <c r="Z81" i="5"/>
  <c r="Y81" i="5"/>
  <c r="X81" i="5"/>
  <c r="W81" i="5"/>
  <c r="V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C81" i="5"/>
  <c r="AD80" i="5"/>
  <c r="U81" i="5"/>
  <c r="AD78" i="5"/>
  <c r="AD77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C73" i="5"/>
  <c r="AD72" i="5"/>
  <c r="AD71" i="5"/>
  <c r="AD70" i="5"/>
  <c r="D73" i="5"/>
  <c r="AD68" i="5"/>
  <c r="AD67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C64" i="5"/>
  <c r="AD63" i="5"/>
  <c r="AD62" i="5"/>
  <c r="AD61" i="5"/>
  <c r="AD60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C55" i="5"/>
  <c r="AD54" i="5"/>
  <c r="AD53" i="5"/>
  <c r="AD52" i="5"/>
  <c r="D55" i="5"/>
  <c r="AD50" i="5"/>
  <c r="AD49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C46" i="5"/>
  <c r="AD45" i="5"/>
  <c r="AD44" i="5"/>
  <c r="AD43" i="5"/>
  <c r="AD42" i="5"/>
  <c r="AD41" i="5"/>
  <c r="AD40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C37" i="5"/>
  <c r="AD36" i="5"/>
  <c r="AD35" i="5"/>
  <c r="AD34" i="5"/>
  <c r="AD33" i="5"/>
  <c r="AD31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G28" i="5"/>
  <c r="F28" i="5"/>
  <c r="E28" i="5"/>
  <c r="C28" i="5"/>
  <c r="AD27" i="5"/>
  <c r="AD26" i="5"/>
  <c r="AD25" i="5"/>
  <c r="AD16" i="5"/>
  <c r="AD15" i="5"/>
  <c r="AD14" i="5"/>
  <c r="R12" i="5"/>
  <c r="R18" i="5" s="1"/>
  <c r="AC10" i="5"/>
  <c r="AC12" i="5" s="1"/>
  <c r="AC18" i="5" s="1"/>
  <c r="AB10" i="5"/>
  <c r="AB12" i="5" s="1"/>
  <c r="AB18" i="5" s="1"/>
  <c r="AA10" i="5"/>
  <c r="AA12" i="5" s="1"/>
  <c r="AA18" i="5" s="1"/>
  <c r="Z10" i="5"/>
  <c r="Z12" i="5" s="1"/>
  <c r="Z18" i="5" s="1"/>
  <c r="Y10" i="5"/>
  <c r="Y12" i="5" s="1"/>
  <c r="Y18" i="5" s="1"/>
  <c r="X10" i="5"/>
  <c r="X12" i="5" s="1"/>
  <c r="X18" i="5" s="1"/>
  <c r="W10" i="5"/>
  <c r="W12" i="5" s="1"/>
  <c r="W18" i="5" s="1"/>
  <c r="V10" i="5"/>
  <c r="V12" i="5" s="1"/>
  <c r="V18" i="5" s="1"/>
  <c r="T10" i="5"/>
  <c r="T12" i="5" s="1"/>
  <c r="T18" i="5" s="1"/>
  <c r="S10" i="5"/>
  <c r="S12" i="5" s="1"/>
  <c r="S18" i="5" s="1"/>
  <c r="R10" i="5"/>
  <c r="Q10" i="5"/>
  <c r="Q12" i="5" s="1"/>
  <c r="Q18" i="5" s="1"/>
  <c r="P10" i="5"/>
  <c r="P12" i="5" s="1"/>
  <c r="P18" i="5" s="1"/>
  <c r="O10" i="5"/>
  <c r="O12" i="5" s="1"/>
  <c r="O18" i="5" s="1"/>
  <c r="N10" i="5"/>
  <c r="N12" i="5" s="1"/>
  <c r="N18" i="5" s="1"/>
  <c r="M10" i="5"/>
  <c r="M12" i="5" s="1"/>
  <c r="M18" i="5" s="1"/>
  <c r="L10" i="5"/>
  <c r="L12" i="5" s="1"/>
  <c r="L18" i="5" s="1"/>
  <c r="K10" i="5"/>
  <c r="K12" i="5" s="1"/>
  <c r="K18" i="5" s="1"/>
  <c r="J10" i="5"/>
  <c r="J12" i="5" s="1"/>
  <c r="J18" i="5" s="1"/>
  <c r="I10" i="5"/>
  <c r="I12" i="5" s="1"/>
  <c r="I18" i="5" s="1"/>
  <c r="G10" i="5"/>
  <c r="G12" i="5" s="1"/>
  <c r="G18" i="5" s="1"/>
  <c r="F10" i="5"/>
  <c r="F12" i="5" s="1"/>
  <c r="F18" i="5" s="1"/>
  <c r="E10" i="5"/>
  <c r="E12" i="5" s="1"/>
  <c r="E18" i="5" s="1"/>
  <c r="D10" i="5"/>
  <c r="C10" i="5"/>
  <c r="C12" i="5" s="1"/>
  <c r="C18" i="5" s="1"/>
  <c r="AD9" i="5"/>
  <c r="AD8" i="5"/>
  <c r="AD7" i="5"/>
  <c r="U10" i="5"/>
  <c r="AD3" i="5"/>
  <c r="G43" i="1"/>
  <c r="G44" i="1" s="1"/>
  <c r="G199" i="1" s="1"/>
  <c r="G202" i="1" s="1"/>
  <c r="D75" i="5" l="1"/>
  <c r="AD75" i="5" s="1"/>
  <c r="D22" i="5"/>
  <c r="AD22" i="5" s="1"/>
  <c r="AD143" i="5"/>
  <c r="AD154" i="5"/>
  <c r="AD6" i="5"/>
  <c r="AD10" i="5" s="1"/>
  <c r="AD12" i="5" s="1"/>
  <c r="AD18" i="5" s="1"/>
  <c r="AD69" i="5"/>
  <c r="AD73" i="5" s="1"/>
  <c r="AD51" i="5"/>
  <c r="AD55" i="5" s="1"/>
  <c r="AD90" i="5"/>
  <c r="AD99" i="5"/>
  <c r="H145" i="5"/>
  <c r="H165" i="5" s="1"/>
  <c r="H176" i="5" s="1"/>
  <c r="P145" i="5"/>
  <c r="P165" i="5" s="1"/>
  <c r="P176" i="5" s="1"/>
  <c r="P197" i="5" s="1"/>
  <c r="X145" i="5"/>
  <c r="X165" i="5" s="1"/>
  <c r="X176" i="5" s="1"/>
  <c r="X197" i="5" s="1"/>
  <c r="AD174" i="5"/>
  <c r="O145" i="5"/>
  <c r="O165" i="5" s="1"/>
  <c r="O176" i="5" s="1"/>
  <c r="O197" i="5" s="1"/>
  <c r="AD108" i="5"/>
  <c r="D108" i="5"/>
  <c r="J145" i="5"/>
  <c r="J165" i="5" s="1"/>
  <c r="J176" i="5" s="1"/>
  <c r="J197" i="5" s="1"/>
  <c r="R145" i="5"/>
  <c r="R165" i="5" s="1"/>
  <c r="R176" i="5" s="1"/>
  <c r="R197" i="5" s="1"/>
  <c r="Z145" i="5"/>
  <c r="Z165" i="5" s="1"/>
  <c r="Z176" i="5" s="1"/>
  <c r="Z197" i="5" s="1"/>
  <c r="I145" i="5"/>
  <c r="I165" i="5" s="1"/>
  <c r="I176" i="5" s="1"/>
  <c r="I197" i="5" s="1"/>
  <c r="Q145" i="5"/>
  <c r="Q165" i="5" s="1"/>
  <c r="Q176" i="5" s="1"/>
  <c r="Q197" i="5" s="1"/>
  <c r="Y145" i="5"/>
  <c r="Y165" i="5" s="1"/>
  <c r="Y176" i="5" s="1"/>
  <c r="Y197" i="5" s="1"/>
  <c r="D46" i="5"/>
  <c r="L145" i="5"/>
  <c r="L165" i="5" s="1"/>
  <c r="L176" i="5" s="1"/>
  <c r="L197" i="5" s="1"/>
  <c r="T145" i="5"/>
  <c r="T165" i="5" s="1"/>
  <c r="T176" i="5" s="1"/>
  <c r="T197" i="5" s="1"/>
  <c r="AB145" i="5"/>
  <c r="AB165" i="5" s="1"/>
  <c r="AB176" i="5" s="1"/>
  <c r="AB197" i="5" s="1"/>
  <c r="G145" i="5"/>
  <c r="G165" i="5" s="1"/>
  <c r="G176" i="5" s="1"/>
  <c r="G197" i="5" s="1"/>
  <c r="AA145" i="5"/>
  <c r="AA165" i="5" s="1"/>
  <c r="AA176" i="5" s="1"/>
  <c r="AA197" i="5" s="1"/>
  <c r="U199" i="5"/>
  <c r="AD46" i="5"/>
  <c r="AD117" i="5"/>
  <c r="AD125" i="5"/>
  <c r="W145" i="5"/>
  <c r="W165" i="5" s="1"/>
  <c r="W176" i="5" s="1"/>
  <c r="W197" i="5" s="1"/>
  <c r="D117" i="5"/>
  <c r="C145" i="5"/>
  <c r="C165" i="5" s="1"/>
  <c r="C176" i="5" s="1"/>
  <c r="C197" i="5" s="1"/>
  <c r="S145" i="5"/>
  <c r="S165" i="5" s="1"/>
  <c r="S176" i="5" s="1"/>
  <c r="S197" i="5" s="1"/>
  <c r="AD134" i="5"/>
  <c r="E145" i="5"/>
  <c r="E165" i="5" s="1"/>
  <c r="E176" i="5" s="1"/>
  <c r="E197" i="5" s="1"/>
  <c r="M145" i="5"/>
  <c r="M165" i="5" s="1"/>
  <c r="M176" i="5" s="1"/>
  <c r="M197" i="5" s="1"/>
  <c r="AC145" i="5"/>
  <c r="AC165" i="5" s="1"/>
  <c r="AC176" i="5" s="1"/>
  <c r="AC197" i="5" s="1"/>
  <c r="K145" i="5"/>
  <c r="K165" i="5" s="1"/>
  <c r="K176" i="5" s="1"/>
  <c r="K197" i="5" s="1"/>
  <c r="F145" i="5"/>
  <c r="F165" i="5" s="1"/>
  <c r="F176" i="5" s="1"/>
  <c r="F197" i="5" s="1"/>
  <c r="N145" i="5"/>
  <c r="N165" i="5" s="1"/>
  <c r="N176" i="5" s="1"/>
  <c r="N197" i="5" s="1"/>
  <c r="V145" i="5"/>
  <c r="V165" i="5" s="1"/>
  <c r="V176" i="5" s="1"/>
  <c r="V197" i="5" s="1"/>
  <c r="AD195" i="5"/>
  <c r="AD199" i="5" s="1"/>
  <c r="D199" i="5"/>
  <c r="U145" i="5"/>
  <c r="U165" i="5" s="1"/>
  <c r="H10" i="5"/>
  <c r="H12" i="5" s="1"/>
  <c r="H18" i="5" s="1"/>
  <c r="D12" i="5"/>
  <c r="D18" i="5" s="1"/>
  <c r="AD24" i="5"/>
  <c r="AD159" i="5"/>
  <c r="AD163" i="5" s="1"/>
  <c r="AD79" i="5"/>
  <c r="U12" i="5"/>
  <c r="U18" i="5" s="1"/>
  <c r="D32" i="5" l="1"/>
  <c r="D58" i="5"/>
  <c r="AD58" i="5" s="1"/>
  <c r="U176" i="5"/>
  <c r="U197" i="5" s="1"/>
  <c r="D76" i="5"/>
  <c r="H197" i="5"/>
  <c r="AD32" i="5" l="1"/>
  <c r="AD37" i="5" s="1"/>
  <c r="D37" i="5"/>
  <c r="AD76" i="5"/>
  <c r="AD81" i="5" s="1"/>
  <c r="D81" i="5"/>
  <c r="I104" i="1"/>
  <c r="I96" i="1"/>
  <c r="I85" i="1"/>
  <c r="D59" i="5"/>
  <c r="AD59" i="5" l="1"/>
  <c r="AD64" i="5" s="1"/>
  <c r="AD145" i="5" s="1"/>
  <c r="D64" i="5"/>
  <c r="D145" i="5" s="1"/>
  <c r="D23" i="5" l="1"/>
  <c r="AD23" i="5" s="1"/>
  <c r="AD28" i="5" s="1"/>
  <c r="AD165" i="5" s="1"/>
  <c r="AF165" i="5"/>
  <c r="I73" i="1"/>
  <c r="G203" i="1"/>
  <c r="D28" i="5" l="1"/>
  <c r="D165" i="5" s="1"/>
  <c r="D176" i="5" s="1"/>
  <c r="D197" i="5" s="1"/>
  <c r="AG165" i="5"/>
  <c r="AD176" i="5"/>
  <c r="AD197" i="5" s="1"/>
  <c r="F202" i="1"/>
  <c r="F203" i="1" s="1"/>
</calcChain>
</file>

<file path=xl/sharedStrings.xml><?xml version="1.0" encoding="utf-8"?>
<sst xmlns="http://schemas.openxmlformats.org/spreadsheetml/2006/main" count="1243" uniqueCount="421">
  <si>
    <t>Revenue</t>
  </si>
  <si>
    <t xml:space="preserve">      1510000 Interest on Investments</t>
  </si>
  <si>
    <t xml:space="preserve">      1740000 Student Fee Income</t>
  </si>
  <si>
    <t xml:space="preserve">      1740001 Pre K Supplies Fees</t>
  </si>
  <si>
    <t xml:space="preserve">      1750002 Used School Shirts</t>
  </si>
  <si>
    <t xml:space="preserve">      1790001 Yearbook &amp; Photos</t>
  </si>
  <si>
    <t xml:space="preserve">      1910000 Rental Income Gym Usage</t>
  </si>
  <si>
    <t xml:space="preserve">      1920001 Unrestricted Donations</t>
  </si>
  <si>
    <t xml:space="preserve">      1990000 Miscellaneous</t>
  </si>
  <si>
    <t xml:space="preserve">      1990001 Grant Income</t>
  </si>
  <si>
    <t xml:space="preserve">      1990002 Mill Levy Override Funds</t>
  </si>
  <si>
    <t xml:space="preserve">   Total 1000 Local Sources</t>
  </si>
  <si>
    <t xml:space="preserve">   3000 State Sources</t>
  </si>
  <si>
    <t xml:space="preserve">      3954001 Charter Capital Construction Grant 3113</t>
  </si>
  <si>
    <t xml:space="preserve">      3954004 State ELPA 3139</t>
  </si>
  <si>
    <t xml:space="preserve">      3954005 State ELPA 3140</t>
  </si>
  <si>
    <t xml:space="preserve">      3954006 State Library Grant</t>
  </si>
  <si>
    <t xml:space="preserve">   Total 3000 State Sources</t>
  </si>
  <si>
    <t xml:space="preserve">   4000 Federal Sources</t>
  </si>
  <si>
    <t xml:space="preserve">   Total 4000 Federal Sources</t>
  </si>
  <si>
    <t xml:space="preserve">   5000 Other Sources</t>
  </si>
  <si>
    <t xml:space="preserve">      5711000 Charter School PPR</t>
  </si>
  <si>
    <t xml:space="preserve">   Total 5000 Other Sources</t>
  </si>
  <si>
    <t>Total Revenue</t>
  </si>
  <si>
    <t>Expenditures</t>
  </si>
  <si>
    <t xml:space="preserve">      0110100 Salaries Administrator</t>
  </si>
  <si>
    <t xml:space="preserve">      0110415 Salary Teacher Assistants</t>
  </si>
  <si>
    <t xml:space="preserve">      0110500 Salaries Clerical</t>
  </si>
  <si>
    <t xml:space="preserve">      0110608 Salary Custodian</t>
  </si>
  <si>
    <t xml:space="preserve">   Total 0200 Employee Benefits</t>
  </si>
  <si>
    <t xml:space="preserve">   0300 Purchased Prof &amp; Tech Svs</t>
  </si>
  <si>
    <t xml:space="preserve">      0313000 Banking Service Fees</t>
  </si>
  <si>
    <t xml:space="preserve">      0330001 Other Prof Svs Temp Support</t>
  </si>
  <si>
    <t xml:space="preserve">      0331000 Legal Services</t>
  </si>
  <si>
    <t xml:space="preserve">      0332000 Audit Services</t>
  </si>
  <si>
    <t xml:space="preserve">      0335000 Nursing Services</t>
  </si>
  <si>
    <t xml:space="preserve">      0339000 Background Checks</t>
  </si>
  <si>
    <t xml:space="preserve">      0339001 Payroll Processing Fees</t>
  </si>
  <si>
    <t xml:space="preserve">      0339002 IT Services</t>
  </si>
  <si>
    <t xml:space="preserve">      0339010 Accounting Svs</t>
  </si>
  <si>
    <t xml:space="preserve">      0339011 Bond Related Fees</t>
  </si>
  <si>
    <t xml:space="preserve">      0350000 Staff Training &amp; Development</t>
  </si>
  <si>
    <t xml:space="preserve">      0350003 Licenses</t>
  </si>
  <si>
    <t xml:space="preserve">      0390000 D49 Buyback SIS Powerschool</t>
  </si>
  <si>
    <t xml:space="preserve">      0390001 Buyback D49 Central Admin</t>
  </si>
  <si>
    <t xml:space="preserve">   Total 0300 Purchased Prof &amp; Tech Svs</t>
  </si>
  <si>
    <t xml:space="preserve">   0400 Purchased Property Svs</t>
  </si>
  <si>
    <t xml:space="preserve">      0411000 Water &amp; Sewer</t>
  </si>
  <si>
    <t xml:space="preserve">      042100 Trash Disposal</t>
  </si>
  <si>
    <t xml:space="preserve">      0422000 Snow Removal</t>
  </si>
  <si>
    <t xml:space="preserve">      0431000 Building Lease</t>
  </si>
  <si>
    <t xml:space="preserve">   Total 0400 Purchased Property Svs</t>
  </si>
  <si>
    <t xml:space="preserve">   0500 Other Purchased Svs</t>
  </si>
  <si>
    <t xml:space="preserve">   Total 0500 Other Purchased Svs</t>
  </si>
  <si>
    <t xml:space="preserve">   0600 Supplies</t>
  </si>
  <si>
    <t xml:space="preserve">      0610000 Supplies Classroom</t>
  </si>
  <si>
    <t xml:space="preserve">      0610003 Supplies Office General</t>
  </si>
  <si>
    <t xml:space="preserve">      0610004 Supplies After School Program</t>
  </si>
  <si>
    <t xml:space="preserve">      0610005 Supplies Classroom Library</t>
  </si>
  <si>
    <t xml:space="preserve">      0610006 Supplies Art</t>
  </si>
  <si>
    <t xml:space="preserve">      0610007 Supplies Music</t>
  </si>
  <si>
    <t xml:space="preserve">      0610008 PTO Expense</t>
  </si>
  <si>
    <t xml:space="preserve">      0610010 Printing &amp; Copy Supplies</t>
  </si>
  <si>
    <t xml:space="preserve">      0610015 Supplies PE</t>
  </si>
  <si>
    <t xml:space="preserve">      0612000 Miscellaneous</t>
  </si>
  <si>
    <t xml:space="preserve">      0614000 Supplies Bldg &amp; Grounds</t>
  </si>
  <si>
    <t xml:space="preserve">      0615000 Supplies Bathroom</t>
  </si>
  <si>
    <t xml:space="preserve">      0621000 Natural Gas</t>
  </si>
  <si>
    <t xml:space="preserve">      0622000 Electricity</t>
  </si>
  <si>
    <t xml:space="preserve">      0640004 Textbooks &amp; Curriculum</t>
  </si>
  <si>
    <t xml:space="preserve">   Total 0600 Supplies</t>
  </si>
  <si>
    <t xml:space="preserve">   0700 Property</t>
  </si>
  <si>
    <t xml:space="preserve">   Total 0700 Property</t>
  </si>
  <si>
    <t xml:space="preserve">   0800 Other Objects</t>
  </si>
  <si>
    <t xml:space="preserve">   Total 0800 Other Objects</t>
  </si>
  <si>
    <t>Total Expenditures</t>
  </si>
  <si>
    <t>Pikes Peak School of Expeditionary Learning</t>
  </si>
  <si>
    <t>0000</t>
  </si>
  <si>
    <t>0040</t>
  </si>
  <si>
    <t>0010</t>
  </si>
  <si>
    <t>0060</t>
  </si>
  <si>
    <t>2410</t>
  </si>
  <si>
    <t>2620</t>
  </si>
  <si>
    <t>2100</t>
  </si>
  <si>
    <t>0020</t>
  </si>
  <si>
    <t>0018</t>
  </si>
  <si>
    <t>2510</t>
  </si>
  <si>
    <t>3100</t>
  </si>
  <si>
    <t xml:space="preserve">      0110201 Salary Teacher PreK</t>
  </si>
  <si>
    <t xml:space="preserve">      0110201 Salary Teacher Elem</t>
  </si>
  <si>
    <t xml:space="preserve">      0110201 Salary Teacher MS</t>
  </si>
  <si>
    <t xml:space="preserve">      0110201 Salary Teacher Specials</t>
  </si>
  <si>
    <t xml:space="preserve">   0200 Employee Benefits - See Salary &amp; Benefits tab</t>
  </si>
  <si>
    <t xml:space="preserve">   Total 0100 Salaries </t>
  </si>
  <si>
    <t xml:space="preserve">   0100 Salaries - See Salary &amp; Benefits Tab</t>
  </si>
  <si>
    <t xml:space="preserve">      0610001 Supplies Expedition</t>
  </si>
  <si>
    <t xml:space="preserve">      0110414 Lunch Monitor</t>
  </si>
  <si>
    <t>0585000 Staff/Student/Volunteer Support</t>
  </si>
  <si>
    <t xml:space="preserve">      1310000 Pre Kindergarten</t>
  </si>
  <si>
    <t xml:space="preserve">      0322000 Prof Education ELL</t>
  </si>
  <si>
    <t>0280000 PERA On behlf STATE to PERA</t>
  </si>
  <si>
    <t xml:space="preserve">      3010000 On Behalf STATE to PERA</t>
  </si>
  <si>
    <t>Program</t>
  </si>
  <si>
    <t>2213</t>
  </si>
  <si>
    <t>2317</t>
  </si>
  <si>
    <t>2315</t>
  </si>
  <si>
    <t>2850</t>
  </si>
  <si>
    <t>2240</t>
  </si>
  <si>
    <t>2300</t>
  </si>
  <si>
    <t>2900</t>
  </si>
  <si>
    <t>2130</t>
  </si>
  <si>
    <t>Object
Source</t>
  </si>
  <si>
    <t>10
General Fund</t>
  </si>
  <si>
    <t>11
Charter School Fund</t>
  </si>
  <si>
    <t>18
Insurance Reserve / Risk-Management</t>
  </si>
  <si>
    <t xml:space="preserve">19
Preschool and Kindergarten </t>
  </si>
  <si>
    <t>21
Food Service</t>
  </si>
  <si>
    <t>22
Governmental Designated Grants Fund</t>
  </si>
  <si>
    <t xml:space="preserve">06
Supplemental Capital Construction, Technology, and
Maintenance Fund. </t>
  </si>
  <si>
    <t>07
Total Program Reserve Fund</t>
  </si>
  <si>
    <t xml:space="preserve">23
Pupil Activity </t>
  </si>
  <si>
    <t>24
Full-Day Kindergarten Mill Levy Override</t>
  </si>
  <si>
    <t xml:space="preserve">25
Transportation </t>
  </si>
  <si>
    <t>27 Preschool
Other Special Revenue</t>
  </si>
  <si>
    <t>31
Bond Redemption</t>
  </si>
  <si>
    <t>39
COP Debt</t>
  </si>
  <si>
    <t>41
Building Fund</t>
  </si>
  <si>
    <t>42
Special Building &amp; Technology</t>
  </si>
  <si>
    <t>43
Capital Reserve Capital Projects</t>
  </si>
  <si>
    <t xml:space="preserve">46
Supplemental Capital Construction, Technology, and
Maintenance Fund. </t>
  </si>
  <si>
    <t>29
Bldg Corp.</t>
  </si>
  <si>
    <t xml:space="preserve">60
Internal Service </t>
  </si>
  <si>
    <t>64
Risk Related Activity</t>
  </si>
  <si>
    <t>70
Fiduciary: Trust and Other Custodial Funds: 70, 71, 75-79</t>
  </si>
  <si>
    <t>72
Private-Purpose Trust</t>
  </si>
  <si>
    <t>73
Custodial</t>
  </si>
  <si>
    <t>74
Pupil Activity Custodial</t>
  </si>
  <si>
    <t xml:space="preserve">85
Foundations </t>
  </si>
  <si>
    <t xml:space="preserve">Component Units and Other Reportable Funds </t>
  </si>
  <si>
    <t>TOTAL</t>
  </si>
  <si>
    <t>Beginning Fund Balance
(Includes All Reserves)</t>
  </si>
  <si>
    <t>Revenues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</si>
  <si>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</si>
  <si>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</si>
  <si>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</si>
  <si>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</si>
  <si>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</si>
  <si>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</si>
  <si>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</si>
  <si>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</si>
  <si>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>Total Revenues</t>
  </si>
  <si>
    <t>Total Beginning Fund Balance and Reserves</t>
  </si>
  <si>
    <t xml:space="preserve">      </t>
  </si>
  <si>
    <t>Total Allocations To/From Other Funds</t>
  </si>
  <si>
    <t>5600,5700, 5800</t>
  </si>
  <si>
    <t>Transfers To/From Other Funds</t>
  </si>
  <si>
    <t>5200 - 5300</t>
  </si>
  <si>
    <t xml:space="preserve">Other Sources </t>
  </si>
  <si>
    <t>5100,5400, 5500,5900, 5990, 5991</t>
  </si>
  <si>
    <t>Available  Beginning Fund Balance &amp; Revenues (Plus Or Minus (If Revenue) Allocations And Transfers)</t>
  </si>
  <si>
    <t>Instruction - Program 0010 to 2099</t>
  </si>
  <si>
    <t>Salaries</t>
  </si>
  <si>
    <t>0100</t>
  </si>
  <si>
    <t>Employee Benefits, including object 0280</t>
  </si>
  <si>
    <t>0200</t>
  </si>
  <si>
    <t>Purchased Services</t>
  </si>
  <si>
    <t>0300,0400, 0500</t>
  </si>
  <si>
    <t>Supplies and Materials</t>
  </si>
  <si>
    <t>0600</t>
  </si>
  <si>
    <t>Property</t>
  </si>
  <si>
    <t>0700</t>
  </si>
  <si>
    <t>Other</t>
  </si>
  <si>
    <t>0800, 0900</t>
  </si>
  <si>
    <t>Total Instruction</t>
  </si>
  <si>
    <t>Supporting Services</t>
  </si>
  <si>
    <t>Students - Program 2100</t>
  </si>
  <si>
    <t>Total Students</t>
  </si>
  <si>
    <t>Instructional Staff - Program 2200</t>
  </si>
  <si>
    <t>Total Instructional Staff</t>
  </si>
  <si>
    <t>General Administration - Program 2300, including Program 2303 and 2304</t>
  </si>
  <si>
    <t>Total School Administration</t>
  </si>
  <si>
    <t>School Administration - Program 2400</t>
  </si>
  <si>
    <t>Business Services - Program 2500, including Program 2501</t>
  </si>
  <si>
    <t>Total Business Services</t>
  </si>
  <si>
    <t>Operations and Maintenance - Program 2600</t>
  </si>
  <si>
    <t>Total Operations and Maintenance</t>
  </si>
  <si>
    <t>Student Transportation - Program 2700</t>
  </si>
  <si>
    <t>Total Student Transportation</t>
  </si>
  <si>
    <t>Central Support - Program 2800, including Program 2801</t>
  </si>
  <si>
    <t>Total Central Support</t>
  </si>
  <si>
    <t>Other Support - Program 2900</t>
  </si>
  <si>
    <t>Total Other Support</t>
  </si>
  <si>
    <t>Food Service Operations - Program 3100</t>
  </si>
  <si>
    <t>Enterprise Operations - Program 3200</t>
  </si>
  <si>
    <t>Total Enterprise Operations</t>
  </si>
  <si>
    <t>Community Services - Program 3300</t>
  </si>
  <si>
    <t>Total Community Services</t>
  </si>
  <si>
    <t>Education for Adults - Program 3400</t>
  </si>
  <si>
    <t>Total Education for Adults Services</t>
  </si>
  <si>
    <t>Total Supporting Services</t>
  </si>
  <si>
    <t>Property - Program 4000</t>
  </si>
  <si>
    <t>Total Property</t>
  </si>
  <si>
    <t>Other Uses - Program 5000s - including Transfers Out and/or Allocations Out as an expenditure</t>
  </si>
  <si>
    <t>N/A</t>
  </si>
  <si>
    <t>Total Other Uses</t>
  </si>
  <si>
    <t>APPROPRIATED RESERVES</t>
  </si>
  <si>
    <t>Other Reserved Fund Balance (9900)</t>
  </si>
  <si>
    <t>0840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</si>
  <si>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</si>
  <si>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</si>
  <si>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</si>
  <si>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</si>
  <si>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</si>
  <si>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Reserves</t>
  </si>
  <si>
    <t>Total Expenditures and Reserves</t>
  </si>
  <si>
    <t>BUDGETED ENDING FUND BALANCE</t>
  </si>
  <si>
    <t xml:space="preserve">   Non-spendable fund balance  (9900)</t>
  </si>
  <si>
    <t>6710</t>
  </si>
  <si>
    <t xml:space="preserve">   Restricted fund balance (9900)</t>
  </si>
  <si>
    <t>6720</t>
  </si>
  <si>
    <t xml:space="preserve">   TABOR 3% emergency reserve (9321)</t>
  </si>
  <si>
    <t>6721</t>
  </si>
  <si>
    <t xml:space="preserve">   TABOR multi year obligations (9322)</t>
  </si>
  <si>
    <t>6722</t>
  </si>
  <si>
    <t xml:space="preserve">   District emergency reserve (letter of credit or real estate) (9323)</t>
  </si>
  <si>
    <t>6723</t>
  </si>
  <si>
    <t xml:space="preserve">   Colorado Preschool Program (CPP) (9324)</t>
  </si>
  <si>
    <t>6724</t>
  </si>
  <si>
    <t xml:space="preserve">   Risk-related / restricted capital reserve (9326)</t>
  </si>
  <si>
    <t>6726</t>
  </si>
  <si>
    <t xml:space="preserve">   BEST capital renewal reserve (9327)</t>
  </si>
  <si>
    <t>6727</t>
  </si>
  <si>
    <t xml:space="preserve">   Total program reserve (9328)</t>
  </si>
  <si>
    <t>6728</t>
  </si>
  <si>
    <t xml:space="preserve">   Committed fund balance (9900)</t>
  </si>
  <si>
    <t>6750</t>
  </si>
  <si>
    <t xml:space="preserve">   Committed fund balance (15% limit) (9200)</t>
  </si>
  <si>
    <t xml:space="preserve">   Assigned fund balance (9900)</t>
  </si>
  <si>
    <t>6760</t>
  </si>
  <si>
    <t xml:space="preserve">   Unassigned fund balance (9900)</t>
  </si>
  <si>
    <t>6770</t>
  </si>
  <si>
    <t xml:space="preserve">   Net investment in capital assets (9900)</t>
  </si>
  <si>
    <t>6790</t>
  </si>
  <si>
    <t xml:space="preserve">   Restricted net position (9900)</t>
  </si>
  <si>
    <t>6791</t>
  </si>
  <si>
    <t xml:space="preserve">   Unrestricted net position (9900)</t>
  </si>
  <si>
    <t>6792</t>
  </si>
  <si>
    <t>Total Ending Fund Balance</t>
  </si>
  <si>
    <t>Total Available Beginning Fund Balance &amp; Revenues Less Total Expenditures &amp; Reserves Less Ending Fund Balance (Shall Equal Zero (0))</t>
  </si>
  <si>
    <t>Use of a portion of beginning fund balance resolution required?</t>
  </si>
  <si>
    <t>Notes</t>
  </si>
  <si>
    <t>$20 per student per semester</t>
  </si>
  <si>
    <t>PTO</t>
  </si>
  <si>
    <t xml:space="preserve">      1820000 Before &amp; After Care fees</t>
  </si>
  <si>
    <t xml:space="preserve">      1790000 Pupil Activity Income</t>
  </si>
  <si>
    <t>Band/Choir/Art</t>
  </si>
  <si>
    <t xml:space="preserve">      0110403 Before &amp; After Care</t>
  </si>
  <si>
    <t xml:space="preserve">      0110222 Salary Intervention </t>
  </si>
  <si>
    <t xml:space="preserve">      0442001 Equipment Rental, storage unit</t>
  </si>
  <si>
    <t>Net Income (Loss)</t>
  </si>
  <si>
    <t>building lease offset</t>
  </si>
  <si>
    <t>Charter Intercept pmts; Bond monthly pmts</t>
  </si>
  <si>
    <t xml:space="preserve">      1750000 Fund Raisers, school</t>
  </si>
  <si>
    <t xml:space="preserve">      1750001 FUNd Run PTO fundraising</t>
  </si>
  <si>
    <t>4954006 CCBG PS #7575</t>
  </si>
  <si>
    <t>0221403 Medicare Before &amp; After Care</t>
  </si>
  <si>
    <t>0221415 Medicare Teaching Assistants</t>
  </si>
  <si>
    <t>0221500 Medicare Clerical</t>
  </si>
  <si>
    <t>0221608 Medicare Custodian</t>
  </si>
  <si>
    <t>0230100 PERA Contribution Admin</t>
  </si>
  <si>
    <t>0230201 PERA Teachers</t>
  </si>
  <si>
    <t>0230222 PERA Interventionists</t>
  </si>
  <si>
    <t>0230403 PERA Before &amp; After Care</t>
  </si>
  <si>
    <t>0230414 PERA Lunch Monitor</t>
  </si>
  <si>
    <t>0230415 PERA Teaching Assitants</t>
  </si>
  <si>
    <t>0230500 PERA Contribution Clerical</t>
  </si>
  <si>
    <t>0230608 PERA Contribution Custodian</t>
  </si>
  <si>
    <t>0221414 Medicare Lunch Monitors</t>
  </si>
  <si>
    <t>0221222 Medicare Intervenionists</t>
  </si>
  <si>
    <t>0221200 Medicare Teachers</t>
  </si>
  <si>
    <t>0221100 Medicare Admin</t>
  </si>
  <si>
    <t>0210100 Life / Disability Admin</t>
  </si>
  <si>
    <t>0210222 Life/Disability Interventionists</t>
  </si>
  <si>
    <t>0210415 Life / Disability Teaching Assistants</t>
  </si>
  <si>
    <t>0210500 Life / Disability Office</t>
  </si>
  <si>
    <t>0210608 Life / Disability Custodial</t>
  </si>
  <si>
    <t>0190222 Bonus Intervention</t>
  </si>
  <si>
    <t>0190100 Bonus Administration</t>
  </si>
  <si>
    <t>0190414 Bonus Lunch Monitor</t>
  </si>
  <si>
    <t>0190500 Bonus Clerical</t>
  </si>
  <si>
    <t>0190608 Bonus Custodian</t>
  </si>
  <si>
    <t>pulled from salary tab (10 days / staff / $233)</t>
  </si>
  <si>
    <t>0520000 Insurance Premiums</t>
  </si>
  <si>
    <t>0594001 D49 Purchased Transportation/Nutrition Svs</t>
  </si>
  <si>
    <t>0594000 D49 Buyback SPED</t>
  </si>
  <si>
    <t xml:space="preserve">      0650001 Electronic Media Software_Materials</t>
  </si>
  <si>
    <t>0710000 Land &amp; Improvements</t>
  </si>
  <si>
    <t>0721000 Lease Hold Improvements</t>
  </si>
  <si>
    <t>0735000 Non-Capital Equipment</t>
  </si>
  <si>
    <t>0770000 Lease Copier</t>
  </si>
  <si>
    <t>2630</t>
  </si>
  <si>
    <t>0734000 Tech Equipment</t>
  </si>
  <si>
    <t>0810000 Dues &amp; Fees</t>
  </si>
  <si>
    <t>0890000 Preschool Subsidy</t>
  </si>
  <si>
    <t>Aspen Ridge Church $160/mnth</t>
  </si>
  <si>
    <t>0521000 Liability Insurance</t>
  </si>
  <si>
    <t>0525000 Colorado Unemployment</t>
  </si>
  <si>
    <t>0526000 Workers Comp Insurance</t>
  </si>
  <si>
    <t>0530000 Internet Access</t>
  </si>
  <si>
    <t>0530003 Misc Purchased Services</t>
  </si>
  <si>
    <t>0531000 Phone/Fax</t>
  </si>
  <si>
    <t>0533000 Postage</t>
  </si>
  <si>
    <t>0540000 Staff Recruitment</t>
  </si>
  <si>
    <t>0540001 Advertising &amp; Marketing</t>
  </si>
  <si>
    <t>0580000 Travel, Registration &amp; Entrance</t>
  </si>
  <si>
    <t>full year paid in advance</t>
  </si>
  <si>
    <t>pull from salary tab</t>
  </si>
  <si>
    <t>monthly access / stepping fwd annual</t>
  </si>
  <si>
    <t>Bluepoint / Alarm detection</t>
  </si>
  <si>
    <t>mileage FY22 / FY23</t>
  </si>
  <si>
    <t>0190403 Bonus Before &amp; After care</t>
  </si>
  <si>
    <t>FY22 ACTUAL</t>
  </si>
  <si>
    <t xml:space="preserve">      3954000 READ Grant 3259</t>
  </si>
  <si>
    <t>4954000 FED Impact Aid</t>
  </si>
  <si>
    <t>PPR</t>
  </si>
  <si>
    <t>sFTE</t>
  </si>
  <si>
    <t>4954005 ESSER III #9414</t>
  </si>
  <si>
    <t>4954004 FED ESSER II #4420</t>
  </si>
  <si>
    <t xml:space="preserve">     3954007 ST Air Quality Impr. 3278</t>
  </si>
  <si>
    <t xml:space="preserve">     3954008 ST Add'l At risk </t>
  </si>
  <si>
    <t>D49 buyback</t>
  </si>
  <si>
    <t>airfare, hotel, registrations</t>
  </si>
  <si>
    <t>1700</t>
  </si>
  <si>
    <t>0110202 Salary Teacher SPED</t>
  </si>
  <si>
    <t>0110238 Salary SLP</t>
  </si>
  <si>
    <t>0210201 Life / Disability Teachers &amp; Specials</t>
  </si>
  <si>
    <t>0221202 Medicare Teachers SPED</t>
  </si>
  <si>
    <t>0210202 Life / Disability Teachers SPED</t>
  </si>
  <si>
    <t>0230202 PERA Teachers SPED</t>
  </si>
  <si>
    <t>0190202 Bonus Teacher SPED</t>
  </si>
  <si>
    <t>0190415 Bonus Teacher Assistants</t>
  </si>
  <si>
    <t>pass thru revenue &amp; expenditure AUDIT related</t>
  </si>
  <si>
    <t>0190200 Bonus Teachers</t>
  </si>
  <si>
    <t xml:space="preserve">      0430000 Equipment Repairs &amp; Maintenance</t>
  </si>
  <si>
    <t>$60 per student per semester (less FRL) s/b around $35K</t>
  </si>
  <si>
    <t>July 1, 2023-June 30, 2024</t>
  </si>
  <si>
    <t>FY23includes bonus for SPED</t>
  </si>
  <si>
    <t>FY23 carryover $335.82</t>
  </si>
  <si>
    <t>FY24 Approved Adopted Budget</t>
  </si>
  <si>
    <t>FY23 ACTUALS</t>
  </si>
  <si>
    <t>28-1910 Bldg Lease Revenue</t>
  </si>
  <si>
    <t>background checks</t>
  </si>
  <si>
    <t>Box tops, king soopers, Restaurant Night Outs</t>
  </si>
  <si>
    <t>3010001 UPK Preschool Grant #</t>
  </si>
  <si>
    <t>expense shows net amount; shared employee with GPA</t>
  </si>
  <si>
    <t>0210228 Life/Disability SLP</t>
  </si>
  <si>
    <t>2150</t>
  </si>
  <si>
    <t>0221238 Medicare SLP</t>
  </si>
  <si>
    <t>0230238 PERA SLP</t>
  </si>
  <si>
    <t>0251202 Medical/Dental/Vision Teach. SPED</t>
  </si>
  <si>
    <t>0251100 Medical/Dental/Vision Admin</t>
  </si>
  <si>
    <t>0251200 Medical/Dental/Vision Teacher</t>
  </si>
  <si>
    <t>0251500 Medical/Dental/Vision Clerical</t>
  </si>
  <si>
    <t>0251608 Medical/Dental/Vision  Custodian</t>
  </si>
  <si>
    <t>0251222 Medical/Dental/Vision Interventionists</t>
  </si>
  <si>
    <t>0251238 Medical/Dental/Vision SLP</t>
  </si>
  <si>
    <t>0190238 Bonus SLP</t>
  </si>
  <si>
    <t xml:space="preserve">      0339009 Daycare Contract Labor</t>
  </si>
  <si>
    <t>0334000 Consultant OT</t>
  </si>
  <si>
    <t>0334001 Consultant Psych</t>
  </si>
  <si>
    <t>0617000 Supplies SPED</t>
  </si>
  <si>
    <t>0610016 Supplies Tech_Media</t>
  </si>
  <si>
    <t xml:space="preserve"> 0630000 Food supplies, non contract</t>
  </si>
  <si>
    <t>0733000 Furniture &amp; Fixtures</t>
  </si>
  <si>
    <t>FY24 Parking Lot</t>
  </si>
  <si>
    <t>FY23_FY24 build out; monies from Fund balance</t>
  </si>
  <si>
    <t>28-0313 Bldg Bank service Charge</t>
  </si>
  <si>
    <t>28-0830 Bldg Interest Paid</t>
  </si>
  <si>
    <t>28-0900 Bond Principal Paid</t>
  </si>
  <si>
    <t>28-1510 Interest on Investments</t>
  </si>
  <si>
    <t>Building Corporation</t>
  </si>
  <si>
    <t>Klininski preschool $125 x 10 plus bonus</t>
  </si>
  <si>
    <t>Accounting, monthly subscription QBO, bonus</t>
  </si>
  <si>
    <t>Hide columns B, C, D E if not wanted, it helps JP with estimating Actuals for full year</t>
  </si>
  <si>
    <t>Includes licenses for online software</t>
  </si>
  <si>
    <t>Tabor 3% Reserve</t>
  </si>
  <si>
    <t>Total Fund Balance</t>
  </si>
  <si>
    <t>Unassigned Fund Balance</t>
  </si>
  <si>
    <t>Building Corporation Fund Balance Debt Service Restricted</t>
  </si>
  <si>
    <t>SummitPac</t>
  </si>
  <si>
    <t>HelloHero</t>
  </si>
  <si>
    <t>0334002 Consultant SPED</t>
  </si>
  <si>
    <t>FY2023-24 UNIFORM BUDGET SUMMARY</t>
  </si>
  <si>
    <t>Pikes Peak School of Expenditionary Learning / District 49
District Code: 910 / 1110
REVISED Budget FY23-24
Approved 
Budgeted Pupil Count: 399</t>
  </si>
  <si>
    <t>FY24 Revised Budget Approved</t>
  </si>
  <si>
    <t>PTO FUNd Run</t>
  </si>
  <si>
    <t>FY24 Actuals through 3/31/24</t>
  </si>
  <si>
    <t>4954008 IDEA #4027</t>
  </si>
  <si>
    <t>110236 Salary Psychologist</t>
  </si>
  <si>
    <t xml:space="preserve">      0110416 Salary Teacher Assistants SPED</t>
  </si>
  <si>
    <t>28-5228 Transfer to Bldg Corp</t>
  </si>
  <si>
    <t>0210416 Life / Disability Teaching Assistants SPED</t>
  </si>
  <si>
    <t>0221236 Medicare Psych</t>
  </si>
  <si>
    <t>0221416 Medicare Teaching Assistants SPED</t>
  </si>
  <si>
    <t>0230416 PERA Teaching Assitants SPED</t>
  </si>
  <si>
    <t>0251416 Medical/Dental/Vision TA SPED</t>
  </si>
  <si>
    <t>add'l expenses in TRAVEL (due to CDE requirements)</t>
  </si>
  <si>
    <t xml:space="preserve">      0611000 Supplies Health</t>
  </si>
  <si>
    <t>$732,079 FY23 expenses for new addition / $383141 FY24 TOTAL $1,115,220</t>
  </si>
  <si>
    <t>Debt service for July 1 bond payment</t>
  </si>
  <si>
    <t>FOR completion of Addition - $1,115,520 completion</t>
  </si>
  <si>
    <t>Total available FY24 $257,429</t>
  </si>
  <si>
    <t>*all teachers ELEM, MS, SPECIALS, PREK</t>
  </si>
  <si>
    <t>$2500 / $2500 / $5000</t>
  </si>
  <si>
    <t>$2500 / $2500 /$5000</t>
  </si>
  <si>
    <t>$1500/$1500 / $3000</t>
  </si>
  <si>
    <t>$250 / $350 / $350</t>
  </si>
  <si>
    <t>$1500 / $1500 /$1500</t>
  </si>
  <si>
    <t>Cobra Admin annual fee / FY24 pay out Malone/Preferred Healthcare</t>
  </si>
  <si>
    <t xml:space="preserve">$2500 / $2500 / $5000 </t>
  </si>
  <si>
    <t>FY24 Supplemental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</si>
</sst>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</numFmts>
  <fonts count="42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Helv"/>
    </font>
    <font>
      <sz val="8"/>
      <name val="Helv"/>
    </font>
    <font>
      <b/>
      <sz val="1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b/>
      <sz val="16"/>
      <color indexed="8"/>
      <name val="Aptos"/>
      <family val="2"/>
    </font>
    <font>
      <b/>
      <sz val="11"/>
      <color indexed="8"/>
      <name val="Aptos"/>
      <family val="2"/>
    </font>
    <font>
      <b/>
      <sz val="16"/>
      <name val="Aptos"/>
      <family val="2"/>
    </font>
    <font>
      <b/>
      <sz val="11"/>
      <name val="Aptos"/>
      <family val="2"/>
    </font>
    <font>
      <b/>
      <i/>
      <sz val="11"/>
      <color theme="4"/>
      <name val="Aptos"/>
      <family val="2"/>
    </font>
    <font>
      <b/>
      <sz val="10"/>
      <name val="Aptos"/>
      <family val="2"/>
    </font>
    <font>
      <b/>
      <i/>
      <sz val="10"/>
      <name val="Aptos"/>
      <family val="2"/>
    </font>
    <font>
      <b/>
      <sz val="12"/>
      <name val="Aptos"/>
      <family val="2"/>
    </font>
    <font>
      <b/>
      <i/>
      <sz val="12"/>
      <name val="Aptos"/>
      <family val="2"/>
    </font>
    <font>
      <b/>
      <i/>
      <sz val="11"/>
      <name val="Aptos"/>
      <family val="2"/>
    </font>
    <font>
      <sz val="10"/>
      <name val="Aptos"/>
      <family val="2"/>
    </font>
    <font>
      <i/>
      <sz val="10"/>
      <name val="Aptos"/>
      <family val="2"/>
    </font>
    <font>
      <sz val="11"/>
      <name val="Aptos"/>
      <family val="2"/>
    </font>
    <font>
      <sz val="11"/>
      <color indexed="8"/>
      <name val="Aptos"/>
      <family val="2"/>
    </font>
    <font>
      <sz val="11"/>
      <color rgb="FFFF0000"/>
      <name val="Aptos"/>
      <family val="2"/>
    </font>
    <font>
      <sz val="10"/>
      <color rgb="FFC00000"/>
      <name val="Aptos"/>
      <family val="2"/>
    </font>
    <font>
      <i/>
      <sz val="10"/>
      <color rgb="FFFF0000"/>
      <name val="Aptos"/>
      <family val="2"/>
    </font>
    <font>
      <b/>
      <i/>
      <sz val="11"/>
      <color indexed="8"/>
      <name val="Aptos"/>
      <family val="2"/>
    </font>
    <font>
      <i/>
      <sz val="10"/>
      <color rgb="FFC00000"/>
      <name val="Aptos"/>
      <family val="2"/>
    </font>
    <font>
      <b/>
      <i/>
      <sz val="11"/>
      <color rgb="FF00B050"/>
      <name val="Aptos"/>
      <family val="2"/>
    </font>
    <font>
      <b/>
      <i/>
      <sz val="11"/>
      <color rgb="FFC00000"/>
      <name val="Aptos"/>
      <family val="2"/>
    </font>
    <font>
      <sz val="11"/>
      <color rgb="FFC00000"/>
      <name val="Aptos"/>
      <family val="2"/>
    </font>
    <font>
      <sz val="11"/>
      <color rgb="FF00B050"/>
      <name val="Aptos"/>
      <family val="2"/>
    </font>
    <font>
      <sz val="11"/>
      <color theme="4"/>
      <name val="Aptos"/>
      <family val="2"/>
    </font>
    <font>
      <b/>
      <i/>
      <sz val="10"/>
      <color rgb="FFFF0000"/>
      <name val="Aptos"/>
      <family val="2"/>
    </font>
    <font>
      <b/>
      <i/>
      <sz val="10"/>
      <color rgb="FFC00000"/>
      <name val="Aptos"/>
      <family val="2"/>
    </font>
    <font>
      <b/>
      <sz val="11"/>
      <color theme="4"/>
      <name val="Aptos"/>
      <family val="2"/>
    </font>
    <font>
      <b/>
      <sz val="10"/>
      <color theme="4"/>
      <name val="Aptos"/>
      <family val="2"/>
    </font>
    <font>
      <sz val="10"/>
      <color theme="4"/>
      <name val="Aptos"/>
      <family val="2"/>
    </font>
    <font>
      <sz val="10"/>
      <color indexed="8"/>
      <name val="Aptos"/>
      <family val="2"/>
    </font>
    <font>
      <b/>
      <i/>
      <u/>
      <sz val="10"/>
      <name val="Aptos"/>
      <family val="2"/>
    </font>
    <font>
      <i/>
      <sz val="11"/>
      <color theme="4"/>
      <name val="Aptos"/>
      <family val="2"/>
    </font>
    <font>
      <i/>
      <sz val="10"/>
      <color theme="4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7" fontId="5" fillId="0" borderId="0"/>
  </cellStyleXfs>
  <cellXfs count="358">
    <xf numFmtId="0" fontId="0" fillId="0" borderId="0" xfId="0"/>
    <xf numFmtId="0" fontId="6" fillId="0" borderId="0" xfId="0" applyFont="1" applyAlignment="1">
      <alignment vertical="top" wrapText="1"/>
    </xf>
    <xf numFmtId="49" fontId="6" fillId="0" borderId="0" xfId="0" applyNumberFormat="1" applyFont="1" applyAlignment="1">
      <alignment horizontal="right" wrapText="1"/>
    </xf>
    <xf numFmtId="41" fontId="3" fillId="0" borderId="0" xfId="0" applyNumberFormat="1" applyFont="1"/>
    <xf numFmtId="0" fontId="4" fillId="0" borderId="0" xfId="0" applyFont="1"/>
    <xf numFmtId="49" fontId="6" fillId="0" borderId="10" xfId="0" applyNumberFormat="1" applyFont="1" applyBorder="1" applyAlignment="1" applyProtection="1">
      <alignment horizontal="center" wrapText="1"/>
      <protection locked="0"/>
    </xf>
    <xf numFmtId="41" fontId="6" fillId="0" borderId="13" xfId="0" applyNumberFormat="1" applyFont="1" applyBorder="1" applyAlignment="1">
      <alignment horizontal="center" wrapText="1"/>
    </xf>
    <xf numFmtId="41" fontId="6" fillId="0" borderId="14" xfId="0" applyNumberFormat="1" applyFont="1" applyBorder="1" applyAlignment="1">
      <alignment horizontal="center" wrapText="1"/>
    </xf>
    <xf numFmtId="41" fontId="6" fillId="0" borderId="15" xfId="0" applyNumberFormat="1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5" xfId="0" applyFont="1" applyBorder="1" applyAlignment="1">
      <alignment vertical="top" wrapText="1"/>
    </xf>
    <xf numFmtId="49" fontId="6" fillId="0" borderId="0" xfId="0" applyNumberFormat="1" applyFont="1" applyAlignment="1">
      <alignment wrapText="1"/>
    </xf>
    <xf numFmtId="41" fontId="3" fillId="0" borderId="16" xfId="0" applyNumberFormat="1" applyFont="1" applyBorder="1" applyProtection="1">
      <protection locked="0"/>
    </xf>
    <xf numFmtId="41" fontId="3" fillId="0" borderId="17" xfId="0" applyNumberFormat="1" applyFont="1" applyBorder="1" applyProtection="1">
      <protection locked="0"/>
    </xf>
    <xf numFmtId="41" fontId="3" fillId="0" borderId="18" xfId="0" applyNumberFormat="1" applyFont="1" applyBorder="1"/>
    <xf numFmtId="49" fontId="6" fillId="0" borderId="0" xfId="0" applyNumberFormat="1" applyFont="1" applyAlignment="1">
      <alignment horizontal="center" wrapText="1"/>
    </xf>
    <xf numFmtId="41" fontId="6" fillId="0" borderId="16" xfId="0" applyNumberFormat="1" applyFont="1" applyBorder="1" applyAlignment="1" applyProtection="1">
      <alignment horizontal="center" wrapText="1"/>
      <protection locked="0"/>
    </xf>
    <xf numFmtId="41" fontId="6" fillId="0" borderId="17" xfId="0" applyNumberFormat="1" applyFont="1" applyBorder="1" applyAlignment="1" applyProtection="1">
      <alignment horizontal="center" wrapText="1"/>
      <protection locked="0"/>
    </xf>
    <xf numFmtId="41" fontId="6" fillId="0" borderId="18" xfId="0" applyNumberFormat="1" applyFont="1" applyBorder="1" applyAlignment="1">
      <alignment horizontal="center" wrapText="1"/>
    </xf>
    <xf numFmtId="0" fontId="3" fillId="0" borderId="0" xfId="0" applyFont="1"/>
    <xf numFmtId="0" fontId="3" fillId="0" borderId="5" xfId="0" applyFont="1" applyBorder="1" applyAlignment="1">
      <alignment horizontal="left" vertical="top" wrapText="1" indent="1"/>
    </xf>
    <xf numFmtId="49" fontId="3" fillId="0" borderId="0" xfId="0" applyNumberFormat="1" applyFont="1" applyAlignment="1">
      <alignment horizontal="right" wrapText="1"/>
    </xf>
    <xf numFmtId="0" fontId="6" fillId="2" borderId="19" xfId="0" applyFont="1" applyFill="1" applyBorder="1" applyAlignment="1">
      <alignment vertical="top" wrapText="1"/>
    </xf>
    <xf numFmtId="49" fontId="6" fillId="2" borderId="20" xfId="0" applyNumberFormat="1" applyFont="1" applyFill="1" applyBorder="1" applyAlignment="1">
      <alignment horizontal="right" wrapText="1"/>
    </xf>
    <xf numFmtId="41" fontId="3" fillId="2" borderId="21" xfId="0" applyNumberFormat="1" applyFont="1" applyFill="1" applyBorder="1"/>
    <xf numFmtId="41" fontId="3" fillId="2" borderId="22" xfId="0" applyNumberFormat="1" applyFont="1" applyFill="1" applyBorder="1"/>
    <xf numFmtId="41" fontId="3" fillId="2" borderId="23" xfId="0" applyNumberFormat="1" applyFont="1" applyFill="1" applyBorder="1"/>
    <xf numFmtId="41" fontId="3" fillId="0" borderId="16" xfId="0" applyNumberFormat="1" applyFont="1" applyBorder="1"/>
    <xf numFmtId="41" fontId="3" fillId="0" borderId="17" xfId="0" applyNumberFormat="1" applyFont="1" applyBorder="1"/>
    <xf numFmtId="0" fontId="3" fillId="0" borderId="5" xfId="0" applyFont="1" applyBorder="1" applyAlignment="1">
      <alignment vertical="top" wrapText="1"/>
    </xf>
    <xf numFmtId="41" fontId="2" fillId="0" borderId="16" xfId="0" applyNumberFormat="1" applyFont="1" applyBorder="1" applyProtection="1">
      <protection locked="0"/>
    </xf>
    <xf numFmtId="41" fontId="2" fillId="0" borderId="17" xfId="0" applyNumberFormat="1" applyFont="1" applyBorder="1" applyProtection="1">
      <protection locked="0"/>
    </xf>
    <xf numFmtId="0" fontId="6" fillId="2" borderId="19" xfId="0" applyFont="1" applyFill="1" applyBorder="1" applyAlignment="1">
      <alignment horizontal="left" vertical="top" wrapText="1" indent="2"/>
    </xf>
    <xf numFmtId="41" fontId="7" fillId="0" borderId="17" xfId="0" applyNumberFormat="1" applyFont="1" applyBorder="1" applyProtection="1">
      <protection locked="0"/>
    </xf>
    <xf numFmtId="41" fontId="3" fillId="0" borderId="16" xfId="0" applyNumberFormat="1" applyFont="1" applyBorder="1" applyAlignment="1" applyProtection="1">
      <alignment horizontal="right"/>
      <protection locked="0"/>
    </xf>
    <xf numFmtId="41" fontId="3" fillId="0" borderId="17" xfId="0" applyNumberFormat="1" applyFont="1" applyBorder="1" applyAlignment="1" applyProtection="1">
      <alignment horizontal="right"/>
      <protection locked="0"/>
    </xf>
    <xf numFmtId="41" fontId="3" fillId="0" borderId="18" xfId="0" applyNumberFormat="1" applyFont="1" applyBorder="1" applyAlignment="1">
      <alignment horizontal="right"/>
    </xf>
    <xf numFmtId="0" fontId="3" fillId="0" borderId="0" xfId="0" applyFont="1" applyAlignment="1">
      <alignment vertical="top" wrapText="1"/>
    </xf>
    <xf numFmtId="41" fontId="3" fillId="0" borderId="0" xfId="0" applyNumberFormat="1" applyFont="1" applyAlignment="1">
      <alignment horizontal="center"/>
    </xf>
    <xf numFmtId="0" fontId="6" fillId="4" borderId="12" xfId="0" applyFont="1" applyFill="1" applyBorder="1" applyAlignment="1" applyProtection="1">
      <alignment vertical="center" wrapText="1"/>
      <protection locked="0"/>
    </xf>
    <xf numFmtId="41" fontId="3" fillId="4" borderId="17" xfId="0" applyNumberFormat="1" applyFont="1" applyFill="1" applyBorder="1" applyProtection="1">
      <protection locked="0"/>
    </xf>
    <xf numFmtId="43" fontId="3" fillId="0" borderId="0" xfId="3" applyFont="1"/>
    <xf numFmtId="43" fontId="4" fillId="0" borderId="0" xfId="3" applyFont="1"/>
    <xf numFmtId="43" fontId="6" fillId="0" borderId="0" xfId="3" applyFont="1" applyAlignment="1">
      <alignment wrapText="1"/>
    </xf>
    <xf numFmtId="43" fontId="3" fillId="0" borderId="0" xfId="0" applyNumberFormat="1" applyFont="1"/>
    <xf numFmtId="0" fontId="3" fillId="0" borderId="5" xfId="0" applyFont="1" applyBorder="1" applyAlignment="1">
      <alignment vertical="top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4" fillId="0" borderId="0" xfId="0" applyFont="1" applyAlignment="1">
      <alignment horizontal="right"/>
    </xf>
    <xf numFmtId="44" fontId="15" fillId="0" borderId="25" xfId="1" applyFont="1" applyBorder="1" applyAlignment="1">
      <alignment horizontal="center"/>
    </xf>
    <xf numFmtId="44" fontId="14" fillId="0" borderId="32" xfId="1" applyFont="1" applyBorder="1" applyAlignment="1">
      <alignment horizontal="center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horizontal="right"/>
    </xf>
    <xf numFmtId="0" fontId="17" fillId="0" borderId="27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6" fillId="0" borderId="0" xfId="0" applyFont="1"/>
    <xf numFmtId="0" fontId="17" fillId="0" borderId="25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4" fillId="0" borderId="0" xfId="0" applyFont="1" applyAlignment="1">
      <alignment horizontal="right" wrapText="1"/>
    </xf>
    <xf numFmtId="9" fontId="15" fillId="0" borderId="25" xfId="2" applyFont="1" applyBorder="1" applyAlignment="1">
      <alignment horizontal="center" wrapText="1"/>
    </xf>
    <xf numFmtId="9" fontId="14" fillId="0" borderId="32" xfId="2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9" fillId="0" borderId="25" xfId="0" applyFont="1" applyBorder="1" applyAlignment="1">
      <alignment horizontal="center" wrapText="1"/>
    </xf>
    <xf numFmtId="0" fontId="19" fillId="0" borderId="32" xfId="0" applyFont="1" applyBorder="1" applyAlignment="1">
      <alignment horizontal="center" wrapText="1"/>
    </xf>
    <xf numFmtId="0" fontId="20" fillId="0" borderId="25" xfId="0" applyFont="1" applyBorder="1" applyAlignment="1">
      <alignment horizontal="center"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164" fontId="19" fillId="0" borderId="25" xfId="1" applyNumberFormat="1" applyFont="1" applyBorder="1" applyAlignment="1"/>
    <xf numFmtId="164" fontId="19" fillId="0" borderId="32" xfId="1" applyNumberFormat="1" applyFont="1" applyBorder="1" applyAlignment="1"/>
    <xf numFmtId="164" fontId="20" fillId="0" borderId="25" xfId="1" applyNumberFormat="1" applyFont="1" applyBorder="1" applyAlignment="1">
      <alignment horizontal="center"/>
    </xf>
    <xf numFmtId="164" fontId="19" fillId="0" borderId="32" xfId="1" applyNumberFormat="1" applyFont="1" applyBorder="1" applyAlignment="1">
      <alignment horizontal="center"/>
    </xf>
    <xf numFmtId="0" fontId="21" fillId="0" borderId="0" xfId="0" quotePrefix="1" applyFont="1" applyAlignment="1">
      <alignment horizontal="center"/>
    </xf>
    <xf numFmtId="164" fontId="23" fillId="0" borderId="0" xfId="0" applyNumberFormat="1" applyFont="1"/>
    <xf numFmtId="0" fontId="22" fillId="0" borderId="0" xfId="0" applyFont="1"/>
    <xf numFmtId="164" fontId="21" fillId="0" borderId="0" xfId="0" applyNumberFormat="1" applyFont="1"/>
    <xf numFmtId="164" fontId="19" fillId="0" borderId="25" xfId="1" applyNumberFormat="1" applyFont="1" applyFill="1" applyBorder="1" applyAlignment="1"/>
    <xf numFmtId="164" fontId="19" fillId="0" borderId="32" xfId="1" applyNumberFormat="1" applyFont="1" applyFill="1" applyBorder="1" applyAlignment="1"/>
    <xf numFmtId="0" fontId="19" fillId="0" borderId="2" xfId="0" applyFont="1" applyBorder="1" applyAlignment="1">
      <alignment wrapText="1"/>
    </xf>
    <xf numFmtId="164" fontId="19" fillId="0" borderId="24" xfId="1" applyNumberFormat="1" applyFont="1" applyBorder="1" applyAlignment="1"/>
    <xf numFmtId="164" fontId="19" fillId="0" borderId="31" xfId="1" applyNumberFormat="1" applyFont="1" applyBorder="1" applyAlignment="1"/>
    <xf numFmtId="164" fontId="20" fillId="0" borderId="24" xfId="1" applyNumberFormat="1" applyFont="1" applyBorder="1" applyAlignment="1">
      <alignment horizontal="center"/>
    </xf>
    <xf numFmtId="164" fontId="19" fillId="0" borderId="31" xfId="1" applyNumberFormat="1" applyFont="1" applyBorder="1" applyAlignment="1">
      <alignment horizontal="center"/>
    </xf>
    <xf numFmtId="0" fontId="21" fillId="0" borderId="2" xfId="0" quotePrefix="1" applyFont="1" applyBorder="1" applyAlignment="1">
      <alignment horizontal="center"/>
    </xf>
    <xf numFmtId="164" fontId="21" fillId="0" borderId="2" xfId="0" applyNumberFormat="1" applyFont="1" applyBorder="1"/>
    <xf numFmtId="164" fontId="14" fillId="8" borderId="0" xfId="1" applyNumberFormat="1" applyFont="1" applyFill="1" applyAlignment="1">
      <alignment wrapText="1"/>
    </xf>
    <xf numFmtId="164" fontId="14" fillId="8" borderId="25" xfId="1" applyNumberFormat="1" applyFont="1" applyFill="1" applyBorder="1" applyAlignment="1">
      <alignment horizontal="center"/>
    </xf>
    <xf numFmtId="164" fontId="14" fillId="8" borderId="32" xfId="1" applyNumberFormat="1" applyFont="1" applyFill="1" applyBorder="1" applyAlignment="1">
      <alignment horizontal="center"/>
    </xf>
    <xf numFmtId="164" fontId="14" fillId="0" borderId="0" xfId="1" applyNumberFormat="1" applyFont="1" applyFill="1" applyBorder="1" applyAlignment="1">
      <alignment horizontal="center"/>
    </xf>
    <xf numFmtId="164" fontId="10" fillId="0" borderId="0" xfId="1" applyNumberFormat="1" applyFont="1"/>
    <xf numFmtId="0" fontId="19" fillId="0" borderId="25" xfId="0" applyFont="1" applyBorder="1"/>
    <xf numFmtId="0" fontId="19" fillId="0" borderId="32" xfId="0" applyFont="1" applyBorder="1"/>
    <xf numFmtId="0" fontId="21" fillId="0" borderId="0" xfId="0" applyFont="1" applyAlignment="1">
      <alignment horizontal="center"/>
    </xf>
    <xf numFmtId="0" fontId="19" fillId="3" borderId="0" xfId="0" applyFont="1" applyFill="1" applyAlignment="1">
      <alignment wrapText="1"/>
    </xf>
    <xf numFmtId="164" fontId="19" fillId="3" borderId="25" xfId="1" applyNumberFormat="1" applyFont="1" applyFill="1" applyBorder="1" applyAlignment="1"/>
    <xf numFmtId="164" fontId="19" fillId="3" borderId="32" xfId="1" applyNumberFormat="1" applyFont="1" applyFill="1" applyBorder="1" applyAlignment="1"/>
    <xf numFmtId="164" fontId="20" fillId="3" borderId="25" xfId="1" applyNumberFormat="1" applyFont="1" applyFill="1" applyBorder="1" applyAlignment="1">
      <alignment horizontal="center"/>
    </xf>
    <xf numFmtId="164" fontId="19" fillId="3" borderId="32" xfId="1" applyNumberFormat="1" applyFont="1" applyFill="1" applyBorder="1" applyAlignment="1">
      <alignment horizontal="center"/>
    </xf>
    <xf numFmtId="0" fontId="19" fillId="0" borderId="0" xfId="0" applyFont="1" applyAlignment="1">
      <alignment horizontal="left" wrapText="1" indent="1"/>
    </xf>
    <xf numFmtId="0" fontId="21" fillId="0" borderId="0" xfId="0" applyFont="1"/>
    <xf numFmtId="164" fontId="24" fillId="0" borderId="32" xfId="1" applyNumberFormat="1" applyFont="1" applyBorder="1" applyAlignment="1">
      <alignment horizontal="center"/>
    </xf>
    <xf numFmtId="0" fontId="19" fillId="0" borderId="0" xfId="0" applyFont="1" applyAlignment="1">
      <alignment horizontal="left" wrapText="1" indent="2"/>
    </xf>
    <xf numFmtId="0" fontId="23" fillId="0" borderId="0" xfId="0" applyFont="1"/>
    <xf numFmtId="164" fontId="19" fillId="0" borderId="25" xfId="1" applyNumberFormat="1" applyFont="1" applyBorder="1" applyAlignment="1">
      <alignment horizontal="center"/>
    </xf>
    <xf numFmtId="0" fontId="19" fillId="0" borderId="2" xfId="0" applyFont="1" applyBorder="1" applyAlignment="1">
      <alignment horizontal="left" wrapText="1" indent="2"/>
    </xf>
    <xf numFmtId="0" fontId="14" fillId="8" borderId="0" xfId="0" applyFont="1" applyFill="1" applyAlignment="1">
      <alignment wrapText="1"/>
    </xf>
    <xf numFmtId="164" fontId="14" fillId="8" borderId="25" xfId="1" applyNumberFormat="1" applyFont="1" applyFill="1" applyBorder="1" applyAlignment="1">
      <alignment horizontal="right"/>
    </xf>
    <xf numFmtId="164" fontId="14" fillId="8" borderId="32" xfId="1" applyNumberFormat="1" applyFont="1" applyFill="1" applyBorder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0" fontId="14" fillId="8" borderId="2" xfId="0" applyFont="1" applyFill="1" applyBorder="1" applyAlignment="1">
      <alignment wrapText="1"/>
    </xf>
    <xf numFmtId="164" fontId="14" fillId="8" borderId="24" xfId="1" applyNumberFormat="1" applyFont="1" applyFill="1" applyBorder="1" applyAlignment="1">
      <alignment horizontal="right"/>
    </xf>
    <xf numFmtId="164" fontId="14" fillId="8" borderId="31" xfId="1" applyNumberFormat="1" applyFont="1" applyFill="1" applyBorder="1" applyAlignment="1">
      <alignment horizontal="right"/>
    </xf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/>
    <xf numFmtId="0" fontId="12" fillId="8" borderId="10" xfId="0" applyFont="1" applyFill="1" applyBorder="1" applyAlignment="1">
      <alignment wrapText="1"/>
    </xf>
    <xf numFmtId="164" fontId="12" fillId="8" borderId="26" xfId="1" applyNumberFormat="1" applyFont="1" applyFill="1" applyBorder="1" applyAlignment="1">
      <alignment horizontal="right"/>
    </xf>
    <xf numFmtId="164" fontId="12" fillId="8" borderId="33" xfId="1" applyNumberFormat="1" applyFont="1" applyFill="1" applyBorder="1" applyAlignment="1">
      <alignment horizontal="right"/>
    </xf>
    <xf numFmtId="164" fontId="12" fillId="0" borderId="10" xfId="1" applyNumberFormat="1" applyFont="1" applyFill="1" applyBorder="1" applyAlignment="1">
      <alignment horizontal="right"/>
    </xf>
    <xf numFmtId="164" fontId="25" fillId="0" borderId="25" xfId="1" applyNumberFormat="1" applyFont="1" applyFill="1" applyBorder="1" applyAlignment="1">
      <alignment horizontal="center"/>
    </xf>
    <xf numFmtId="164" fontId="24" fillId="0" borderId="32" xfId="1" applyNumberFormat="1" applyFont="1" applyFill="1" applyBorder="1" applyAlignment="1">
      <alignment horizontal="center"/>
    </xf>
    <xf numFmtId="164" fontId="19" fillId="0" borderId="32" xfId="1" applyNumberFormat="1" applyFont="1" applyFill="1" applyBorder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 wrapText="1" indent="1"/>
    </xf>
    <xf numFmtId="164" fontId="20" fillId="0" borderId="25" xfId="1" applyNumberFormat="1" applyFont="1" applyFill="1" applyBorder="1" applyAlignment="1"/>
    <xf numFmtId="164" fontId="20" fillId="0" borderId="32" xfId="1" applyNumberFormat="1" applyFont="1" applyFill="1" applyBorder="1" applyAlignment="1"/>
    <xf numFmtId="164" fontId="20" fillId="0" borderId="25" xfId="1" applyNumberFormat="1" applyFont="1" applyFill="1" applyBorder="1" applyAlignment="1">
      <alignment horizontal="center"/>
    </xf>
    <xf numFmtId="164" fontId="20" fillId="0" borderId="32" xfId="1" applyNumberFormat="1" applyFont="1" applyFill="1" applyBorder="1" applyAlignment="1">
      <alignment horizontal="center"/>
    </xf>
    <xf numFmtId="0" fontId="18" fillId="0" borderId="0" xfId="0" quotePrefix="1" applyFont="1" applyAlignment="1">
      <alignment horizontal="center"/>
    </xf>
    <xf numFmtId="164" fontId="18" fillId="0" borderId="0" xfId="0" applyNumberFormat="1" applyFont="1"/>
    <xf numFmtId="0" fontId="26" fillId="0" borderId="0" xfId="0" applyFont="1"/>
    <xf numFmtId="0" fontId="15" fillId="5" borderId="0" xfId="0" applyFont="1" applyFill="1" applyAlignment="1">
      <alignment horizontal="left" wrapText="1" indent="1"/>
    </xf>
    <xf numFmtId="164" fontId="20" fillId="5" borderId="25" xfId="1" applyNumberFormat="1" applyFont="1" applyFill="1" applyBorder="1" applyAlignment="1"/>
    <xf numFmtId="164" fontId="20" fillId="5" borderId="32" xfId="1" applyNumberFormat="1" applyFont="1" applyFill="1" applyBorder="1" applyAlignment="1"/>
    <xf numFmtId="164" fontId="20" fillId="5" borderId="25" xfId="1" applyNumberFormat="1" applyFont="1" applyFill="1" applyBorder="1" applyAlignment="1">
      <alignment horizontal="center"/>
    </xf>
    <xf numFmtId="164" fontId="20" fillId="5" borderId="32" xfId="1" applyNumberFormat="1" applyFont="1" applyFill="1" applyBorder="1" applyAlignment="1">
      <alignment horizontal="center"/>
    </xf>
    <xf numFmtId="0" fontId="15" fillId="0" borderId="0" xfId="0" applyFont="1" applyAlignment="1">
      <alignment horizontal="left" wrapText="1" indent="2"/>
    </xf>
    <xf numFmtId="0" fontId="18" fillId="0" borderId="0" xfId="0" applyFont="1"/>
    <xf numFmtId="0" fontId="14" fillId="0" borderId="0" xfId="0" applyFont="1" applyAlignment="1">
      <alignment horizontal="left" wrapText="1" indent="2"/>
    </xf>
    <xf numFmtId="164" fontId="27" fillId="0" borderId="32" xfId="1" applyNumberFormat="1" applyFont="1" applyFill="1" applyBorder="1" applyAlignment="1">
      <alignment horizontal="center"/>
    </xf>
    <xf numFmtId="0" fontId="15" fillId="0" borderId="2" xfId="0" applyFont="1" applyBorder="1" applyAlignment="1">
      <alignment horizontal="left" wrapText="1" indent="1"/>
    </xf>
    <xf numFmtId="164" fontId="20" fillId="0" borderId="24" xfId="1" applyNumberFormat="1" applyFont="1" applyFill="1" applyBorder="1" applyAlignment="1"/>
    <xf numFmtId="164" fontId="20" fillId="0" borderId="31" xfId="1" applyNumberFormat="1" applyFont="1" applyFill="1" applyBorder="1" applyAlignment="1"/>
    <xf numFmtId="164" fontId="20" fillId="0" borderId="24" xfId="1" applyNumberFormat="1" applyFont="1" applyFill="1" applyBorder="1" applyAlignment="1">
      <alignment horizontal="center"/>
    </xf>
    <xf numFmtId="164" fontId="20" fillId="0" borderId="31" xfId="1" applyNumberFormat="1" applyFont="1" applyFill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164" fontId="18" fillId="0" borderId="2" xfId="0" applyNumberFormat="1" applyFont="1" applyBorder="1"/>
    <xf numFmtId="164" fontId="28" fillId="0" borderId="0" xfId="0" applyNumberFormat="1" applyFont="1"/>
    <xf numFmtId="0" fontId="15" fillId="0" borderId="1" xfId="0" applyFont="1" applyBorder="1" applyAlignment="1">
      <alignment horizontal="left" wrapText="1" indent="2"/>
    </xf>
    <xf numFmtId="164" fontId="20" fillId="0" borderId="27" xfId="1" applyNumberFormat="1" applyFont="1" applyFill="1" applyBorder="1" applyAlignment="1"/>
    <xf numFmtId="164" fontId="20" fillId="0" borderId="34" xfId="1" applyNumberFormat="1" applyFont="1" applyFill="1" applyBorder="1" applyAlignment="1"/>
    <xf numFmtId="164" fontId="20" fillId="0" borderId="27" xfId="1" applyNumberFormat="1" applyFont="1" applyFill="1" applyBorder="1" applyAlignment="1">
      <alignment horizontal="center"/>
    </xf>
    <xf numFmtId="164" fontId="20" fillId="0" borderId="34" xfId="1" applyNumberFormat="1" applyFont="1" applyFill="1" applyBorder="1" applyAlignment="1">
      <alignment horizontal="center"/>
    </xf>
    <xf numFmtId="0" fontId="18" fillId="0" borderId="1" xfId="0" quotePrefix="1" applyFont="1" applyBorder="1" applyAlignment="1">
      <alignment horizontal="center"/>
    </xf>
    <xf numFmtId="164" fontId="18" fillId="0" borderId="1" xfId="0" applyNumberFormat="1" applyFont="1" applyBorder="1"/>
    <xf numFmtId="10" fontId="18" fillId="0" borderId="0" xfId="2" applyNumberFormat="1" applyFont="1" applyFill="1" applyAlignment="1">
      <alignment horizontal="left"/>
    </xf>
    <xf numFmtId="164" fontId="29" fillId="0" borderId="0" xfId="0" applyNumberFormat="1" applyFont="1"/>
    <xf numFmtId="0" fontId="30" fillId="0" borderId="0" xfId="0" applyFont="1"/>
    <xf numFmtId="0" fontId="15" fillId="0" borderId="0" xfId="0" quotePrefix="1" applyFont="1" applyAlignment="1">
      <alignment horizontal="left" wrapText="1" indent="2"/>
    </xf>
    <xf numFmtId="164" fontId="20" fillId="0" borderId="25" xfId="1" quotePrefix="1" applyNumberFormat="1" applyFont="1" applyFill="1" applyBorder="1" applyAlignment="1"/>
    <xf numFmtId="164" fontId="20" fillId="0" borderId="32" xfId="1" quotePrefix="1" applyNumberFormat="1" applyFont="1" applyFill="1" applyBorder="1" applyAlignment="1"/>
    <xf numFmtId="0" fontId="15" fillId="0" borderId="0" xfId="0" applyFont="1" applyAlignment="1">
      <alignment horizontal="left" wrapText="1" indent="3"/>
    </xf>
    <xf numFmtId="165" fontId="18" fillId="0" borderId="0" xfId="2" applyNumberFormat="1" applyFont="1" applyFill="1" applyAlignment="1">
      <alignment horizontal="left"/>
    </xf>
    <xf numFmtId="0" fontId="29" fillId="0" borderId="0" xfId="0" applyFont="1"/>
    <xf numFmtId="0" fontId="15" fillId="0" borderId="1" xfId="0" applyFont="1" applyBorder="1" applyAlignment="1">
      <alignment horizontal="left" wrapText="1" indent="3"/>
    </xf>
    <xf numFmtId="0" fontId="19" fillId="0" borderId="0" xfId="0" applyFont="1" applyAlignment="1">
      <alignment horizontal="left" wrapText="1" indent="3"/>
    </xf>
    <xf numFmtId="164" fontId="30" fillId="0" borderId="0" xfId="0" applyNumberFormat="1" applyFont="1"/>
    <xf numFmtId="164" fontId="31" fillId="0" borderId="0" xfId="0" applyNumberFormat="1" applyFont="1"/>
    <xf numFmtId="0" fontId="19" fillId="0" borderId="3" xfId="0" applyFont="1" applyBorder="1" applyAlignment="1">
      <alignment horizontal="left" wrapText="1" indent="3"/>
    </xf>
    <xf numFmtId="164" fontId="19" fillId="0" borderId="28" xfId="1" applyNumberFormat="1" applyFont="1" applyFill="1" applyBorder="1" applyAlignment="1"/>
    <xf numFmtId="164" fontId="19" fillId="0" borderId="35" xfId="1" applyNumberFormat="1" applyFont="1" applyFill="1" applyBorder="1" applyAlignment="1"/>
    <xf numFmtId="164" fontId="20" fillId="0" borderId="28" xfId="1" applyNumberFormat="1" applyFont="1" applyFill="1" applyBorder="1" applyAlignment="1"/>
    <xf numFmtId="164" fontId="24" fillId="0" borderId="35" xfId="1" applyNumberFormat="1" applyFont="1" applyFill="1" applyBorder="1" applyAlignment="1"/>
    <xf numFmtId="0" fontId="21" fillId="0" borderId="4" xfId="0" quotePrefix="1" applyFont="1" applyBorder="1" applyAlignment="1">
      <alignment horizontal="center"/>
    </xf>
    <xf numFmtId="43" fontId="21" fillId="0" borderId="9" xfId="3" applyFont="1" applyFill="1" applyBorder="1"/>
    <xf numFmtId="0" fontId="19" fillId="0" borderId="5" xfId="0" applyFont="1" applyBorder="1" applyAlignment="1">
      <alignment horizontal="left" wrapText="1" indent="3"/>
    </xf>
    <xf numFmtId="43" fontId="21" fillId="0" borderId="6" xfId="3" applyFont="1" applyFill="1" applyBorder="1"/>
    <xf numFmtId="0" fontId="19" fillId="0" borderId="5" xfId="0" quotePrefix="1" applyFont="1" applyBorder="1" applyAlignment="1">
      <alignment horizontal="left" wrapText="1" indent="3"/>
    </xf>
    <xf numFmtId="164" fontId="21" fillId="0" borderId="6" xfId="3" applyNumberFormat="1" applyFont="1" applyFill="1" applyBorder="1"/>
    <xf numFmtId="0" fontId="19" fillId="0" borderId="7" xfId="0" applyFont="1" applyBorder="1" applyAlignment="1">
      <alignment horizontal="left" wrapText="1" indent="3"/>
    </xf>
    <xf numFmtId="164" fontId="19" fillId="0" borderId="24" xfId="1" applyNumberFormat="1" applyFont="1" applyFill="1" applyBorder="1" applyAlignment="1"/>
    <xf numFmtId="164" fontId="19" fillId="0" borderId="31" xfId="1" applyNumberFormat="1" applyFont="1" applyFill="1" applyBorder="1" applyAlignment="1"/>
    <xf numFmtId="164" fontId="24" fillId="0" borderId="31" xfId="1" applyNumberFormat="1" applyFont="1" applyFill="1" applyBorder="1" applyAlignment="1">
      <alignment horizontal="center"/>
    </xf>
    <xf numFmtId="164" fontId="19" fillId="0" borderId="31" xfId="1" applyNumberFormat="1" applyFont="1" applyFill="1" applyBorder="1" applyAlignment="1">
      <alignment horizontal="center"/>
    </xf>
    <xf numFmtId="43" fontId="21" fillId="0" borderId="8" xfId="3" applyFont="1" applyFill="1" applyBorder="1"/>
    <xf numFmtId="0" fontId="18" fillId="8" borderId="0" xfId="0" applyFont="1" applyFill="1" applyAlignment="1">
      <alignment wrapText="1"/>
    </xf>
    <xf numFmtId="164" fontId="18" fillId="8" borderId="25" xfId="1" applyNumberFormat="1" applyFont="1" applyFill="1" applyBorder="1" applyAlignment="1">
      <alignment horizontal="right"/>
    </xf>
    <xf numFmtId="164" fontId="18" fillId="8" borderId="32" xfId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right"/>
    </xf>
    <xf numFmtId="164" fontId="12" fillId="0" borderId="0" xfId="0" applyNumberFormat="1" applyFont="1"/>
    <xf numFmtId="0" fontId="19" fillId="4" borderId="0" xfId="0" applyFont="1" applyFill="1" applyAlignment="1">
      <alignment wrapText="1"/>
    </xf>
    <xf numFmtId="164" fontId="19" fillId="4" borderId="25" xfId="1" applyNumberFormat="1" applyFont="1" applyFill="1" applyBorder="1" applyAlignment="1"/>
    <xf numFmtId="164" fontId="19" fillId="4" borderId="32" xfId="1" applyNumberFormat="1" applyFont="1" applyFill="1" applyBorder="1" applyAlignment="1"/>
    <xf numFmtId="164" fontId="20" fillId="4" borderId="25" xfId="1" applyNumberFormat="1" applyFont="1" applyFill="1" applyBorder="1" applyAlignment="1">
      <alignment horizontal="center"/>
    </xf>
    <xf numFmtId="164" fontId="19" fillId="4" borderId="32" xfId="1" applyNumberFormat="1" applyFont="1" applyFill="1" applyBorder="1" applyAlignment="1">
      <alignment horizontal="center"/>
    </xf>
    <xf numFmtId="0" fontId="19" fillId="7" borderId="0" xfId="0" applyFont="1" applyFill="1" applyAlignment="1">
      <alignment horizontal="left" wrapText="1" indent="1"/>
    </xf>
    <xf numFmtId="164" fontId="19" fillId="7" borderId="25" xfId="1" applyNumberFormat="1" applyFont="1" applyFill="1" applyBorder="1" applyAlignment="1"/>
    <xf numFmtId="164" fontId="19" fillId="7" borderId="32" xfId="1" applyNumberFormat="1" applyFont="1" applyFill="1" applyBorder="1" applyAlignment="1"/>
    <xf numFmtId="164" fontId="20" fillId="7" borderId="25" xfId="1" applyNumberFormat="1" applyFont="1" applyFill="1" applyBorder="1" applyAlignment="1">
      <alignment horizontal="center"/>
    </xf>
    <xf numFmtId="164" fontId="19" fillId="7" borderId="32" xfId="1" applyNumberFormat="1" applyFont="1" applyFill="1" applyBorder="1" applyAlignment="1">
      <alignment horizontal="center"/>
    </xf>
    <xf numFmtId="0" fontId="19" fillId="7" borderId="0" xfId="0" applyFont="1" applyFill="1" applyAlignment="1">
      <alignment wrapText="1"/>
    </xf>
    <xf numFmtId="0" fontId="32" fillId="0" borderId="0" xfId="0" applyFont="1"/>
    <xf numFmtId="0" fontId="19" fillId="5" borderId="0" xfId="0" applyFont="1" applyFill="1" applyAlignment="1">
      <alignment wrapText="1"/>
    </xf>
    <xf numFmtId="164" fontId="19" fillId="5" borderId="25" xfId="1" applyNumberFormat="1" applyFont="1" applyFill="1" applyBorder="1" applyAlignment="1"/>
    <xf numFmtId="164" fontId="19" fillId="5" borderId="32" xfId="1" applyNumberFormat="1" applyFont="1" applyFill="1" applyBorder="1" applyAlignment="1"/>
    <xf numFmtId="164" fontId="19" fillId="5" borderId="32" xfId="1" applyNumberFormat="1" applyFont="1" applyFill="1" applyBorder="1" applyAlignment="1">
      <alignment horizontal="center"/>
    </xf>
    <xf numFmtId="44" fontId="21" fillId="0" borderId="0" xfId="1" applyFont="1" applyFill="1"/>
    <xf numFmtId="0" fontId="19" fillId="5" borderId="2" xfId="0" applyFont="1" applyFill="1" applyBorder="1" applyAlignment="1">
      <alignment wrapText="1"/>
    </xf>
    <xf numFmtId="164" fontId="19" fillId="5" borderId="24" xfId="1" applyNumberFormat="1" applyFont="1" applyFill="1" applyBorder="1" applyAlignment="1"/>
    <xf numFmtId="164" fontId="19" fillId="5" borderId="31" xfId="1" applyNumberFormat="1" applyFont="1" applyFill="1" applyBorder="1" applyAlignment="1"/>
    <xf numFmtId="164" fontId="20" fillId="5" borderId="24" xfId="1" applyNumberFormat="1" applyFont="1" applyFill="1" applyBorder="1" applyAlignment="1">
      <alignment horizontal="center"/>
    </xf>
    <xf numFmtId="164" fontId="19" fillId="5" borderId="31" xfId="1" applyNumberFormat="1" applyFont="1" applyFill="1" applyBorder="1" applyAlignment="1">
      <alignment horizontal="center"/>
    </xf>
    <xf numFmtId="44" fontId="21" fillId="0" borderId="2" xfId="1" applyFont="1" applyFill="1" applyBorder="1"/>
    <xf numFmtId="0" fontId="19" fillId="4" borderId="0" xfId="0" applyFont="1" applyFill="1" applyAlignment="1">
      <alignment horizontal="left" wrapText="1" indent="2"/>
    </xf>
    <xf numFmtId="0" fontId="19" fillId="0" borderId="0" xfId="0" quotePrefix="1" applyFont="1" applyAlignment="1">
      <alignment horizontal="left" wrapText="1" indent="2"/>
    </xf>
    <xf numFmtId="164" fontId="19" fillId="0" borderId="25" xfId="1" quotePrefix="1" applyNumberFormat="1" applyFont="1" applyBorder="1" applyAlignment="1"/>
    <xf numFmtId="164" fontId="19" fillId="0" borderId="32" xfId="1" quotePrefix="1" applyNumberFormat="1" applyFont="1" applyBorder="1" applyAlignment="1"/>
    <xf numFmtId="164" fontId="20" fillId="0" borderId="25" xfId="1" quotePrefix="1" applyNumberFormat="1" applyFont="1" applyBorder="1" applyAlignment="1">
      <alignment horizontal="center"/>
    </xf>
    <xf numFmtId="164" fontId="19" fillId="0" borderId="32" xfId="1" quotePrefix="1" applyNumberFormat="1" applyFont="1" applyBorder="1" applyAlignment="1">
      <alignment horizontal="center"/>
    </xf>
    <xf numFmtId="0" fontId="19" fillId="5" borderId="2" xfId="0" quotePrefix="1" applyFont="1" applyFill="1" applyBorder="1" applyAlignment="1">
      <alignment horizontal="left" wrapText="1" indent="2"/>
    </xf>
    <xf numFmtId="164" fontId="19" fillId="5" borderId="24" xfId="1" quotePrefix="1" applyNumberFormat="1" applyFont="1" applyFill="1" applyBorder="1" applyAlignment="1"/>
    <xf numFmtId="164" fontId="19" fillId="5" borderId="31" xfId="1" quotePrefix="1" applyNumberFormat="1" applyFont="1" applyFill="1" applyBorder="1" applyAlignment="1"/>
    <xf numFmtId="164" fontId="21" fillId="0" borderId="0" xfId="1" applyNumberFormat="1" applyFont="1" applyFill="1"/>
    <xf numFmtId="0" fontId="19" fillId="0" borderId="0" xfId="0" applyFont="1" applyAlignment="1">
      <alignment horizontal="left" indent="1"/>
    </xf>
    <xf numFmtId="164" fontId="21" fillId="0" borderId="2" xfId="1" applyNumberFormat="1" applyFont="1" applyFill="1" applyBorder="1"/>
    <xf numFmtId="0" fontId="19" fillId="6" borderId="0" xfId="0" quotePrefix="1" applyFont="1" applyFill="1" applyAlignment="1">
      <alignment horizontal="left" wrapText="1" indent="2"/>
    </xf>
    <xf numFmtId="164" fontId="19" fillId="6" borderId="25" xfId="1" quotePrefix="1" applyNumberFormat="1" applyFont="1" applyFill="1" applyBorder="1" applyAlignment="1"/>
    <xf numFmtId="164" fontId="19" fillId="6" borderId="32" xfId="1" quotePrefix="1" applyNumberFormat="1" applyFont="1" applyFill="1" applyBorder="1" applyAlignment="1"/>
    <xf numFmtId="164" fontId="20" fillId="6" borderId="25" xfId="1" applyNumberFormat="1" applyFont="1" applyFill="1" applyBorder="1" applyAlignment="1">
      <alignment horizontal="center"/>
    </xf>
    <xf numFmtId="164" fontId="19" fillId="6" borderId="32" xfId="1" applyNumberFormat="1" applyFont="1" applyFill="1" applyBorder="1" applyAlignment="1">
      <alignment horizontal="center"/>
    </xf>
    <xf numFmtId="164" fontId="18" fillId="8" borderId="25" xfId="1" applyNumberFormat="1" applyFont="1" applyFill="1" applyBorder="1" applyAlignment="1">
      <alignment horizontal="left"/>
    </xf>
    <xf numFmtId="164" fontId="18" fillId="8" borderId="32" xfId="1" applyNumberFormat="1" applyFont="1" applyFill="1" applyBorder="1" applyAlignment="1">
      <alignment horizontal="left"/>
    </xf>
    <xf numFmtId="164" fontId="18" fillId="0" borderId="0" xfId="1" applyNumberFormat="1" applyFont="1" applyFill="1" applyBorder="1" applyAlignment="1">
      <alignment horizontal="left"/>
    </xf>
    <xf numFmtId="0" fontId="18" fillId="8" borderId="10" xfId="0" applyFont="1" applyFill="1" applyBorder="1" applyAlignment="1">
      <alignment wrapText="1"/>
    </xf>
    <xf numFmtId="164" fontId="18" fillId="8" borderId="26" xfId="1" applyNumberFormat="1" applyFont="1" applyFill="1" applyBorder="1" applyAlignment="1">
      <alignment horizontal="right"/>
    </xf>
    <xf numFmtId="164" fontId="18" fillId="8" borderId="33" xfId="1" applyNumberFormat="1" applyFont="1" applyFill="1" applyBorder="1" applyAlignment="1">
      <alignment horizontal="right"/>
    </xf>
    <xf numFmtId="164" fontId="18" fillId="0" borderId="10" xfId="1" applyNumberFormat="1" applyFont="1" applyFill="1" applyBorder="1" applyAlignment="1">
      <alignment horizontal="right"/>
    </xf>
    <xf numFmtId="164" fontId="14" fillId="8" borderId="25" xfId="1" applyNumberFormat="1" applyFont="1" applyFill="1" applyBorder="1" applyAlignment="1">
      <alignment horizontal="left"/>
    </xf>
    <xf numFmtId="164" fontId="14" fillId="8" borderId="32" xfId="1" applyNumberFormat="1" applyFont="1" applyFill="1" applyBorder="1" applyAlignment="1">
      <alignment horizontal="left"/>
    </xf>
    <xf numFmtId="164" fontId="14" fillId="0" borderId="0" xfId="1" applyNumberFormat="1" applyFont="1" applyFill="1" applyBorder="1" applyAlignment="1">
      <alignment horizontal="left"/>
    </xf>
    <xf numFmtId="0" fontId="14" fillId="0" borderId="0" xfId="0" applyFont="1" applyAlignment="1">
      <alignment wrapText="1"/>
    </xf>
    <xf numFmtId="164" fontId="14" fillId="0" borderId="25" xfId="1" applyNumberFormat="1" applyFont="1" applyFill="1" applyBorder="1" applyAlignment="1"/>
    <xf numFmtId="164" fontId="14" fillId="0" borderId="32" xfId="1" applyNumberFormat="1" applyFont="1" applyFill="1" applyBorder="1" applyAlignment="1"/>
    <xf numFmtId="164" fontId="33" fillId="0" borderId="25" xfId="1" applyNumberFormat="1" applyFont="1" applyFill="1" applyBorder="1" applyAlignment="1"/>
    <xf numFmtId="164" fontId="34" fillId="0" borderId="32" xfId="1" applyNumberFormat="1" applyFont="1" applyFill="1" applyBorder="1" applyAlignment="1"/>
    <xf numFmtId="164" fontId="15" fillId="0" borderId="32" xfId="1" applyNumberFormat="1" applyFont="1" applyFill="1" applyBorder="1" applyAlignment="1"/>
    <xf numFmtId="0" fontId="12" fillId="0" borderId="0" xfId="0" applyFont="1" applyAlignment="1">
      <alignment horizontal="center"/>
    </xf>
    <xf numFmtId="0" fontId="18" fillId="8" borderId="11" xfId="0" applyFont="1" applyFill="1" applyBorder="1" applyAlignment="1">
      <alignment wrapText="1"/>
    </xf>
    <xf numFmtId="164" fontId="18" fillId="8" borderId="29" xfId="1" applyNumberFormat="1" applyFont="1" applyFill="1" applyBorder="1" applyAlignment="1">
      <alignment horizontal="right"/>
    </xf>
    <xf numFmtId="164" fontId="18" fillId="8" borderId="36" xfId="1" applyNumberFormat="1" applyFont="1" applyFill="1" applyBorder="1" applyAlignment="1">
      <alignment horizontal="right"/>
    </xf>
    <xf numFmtId="164" fontId="18" fillId="0" borderId="11" xfId="1" applyNumberFormat="1" applyFont="1" applyFill="1" applyBorder="1" applyAlignment="1">
      <alignment horizontal="right"/>
    </xf>
    <xf numFmtId="164" fontId="25" fillId="0" borderId="25" xfId="0" applyNumberFormat="1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164" fontId="20" fillId="0" borderId="32" xfId="1" applyNumberFormat="1" applyFont="1" applyBorder="1" applyAlignment="1">
      <alignment horizontal="center"/>
    </xf>
    <xf numFmtId="164" fontId="19" fillId="0" borderId="30" xfId="1" applyNumberFormat="1" applyFont="1" applyBorder="1" applyAlignment="1"/>
    <xf numFmtId="164" fontId="19" fillId="0" borderId="37" xfId="1" applyNumberFormat="1" applyFont="1" applyBorder="1" applyAlignment="1"/>
    <xf numFmtId="0" fontId="19" fillId="0" borderId="28" xfId="0" applyFont="1" applyBorder="1"/>
    <xf numFmtId="0" fontId="19" fillId="0" borderId="35" xfId="0" applyFont="1" applyBorder="1"/>
    <xf numFmtId="0" fontId="20" fillId="0" borderId="28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35" fillId="0" borderId="4" xfId="0" applyFont="1" applyBorder="1"/>
    <xf numFmtId="0" fontId="35" fillId="0" borderId="9" xfId="0" applyFont="1" applyBorder="1"/>
    <xf numFmtId="0" fontId="14" fillId="0" borderId="5" xfId="0" applyFont="1" applyBorder="1" applyAlignment="1">
      <alignment horizontal="right"/>
    </xf>
    <xf numFmtId="0" fontId="35" fillId="0" borderId="0" xfId="0" applyFont="1"/>
    <xf numFmtId="164" fontId="35" fillId="0" borderId="6" xfId="0" applyNumberFormat="1" applyFont="1" applyBorder="1"/>
    <xf numFmtId="0" fontId="35" fillId="0" borderId="6" xfId="0" applyFont="1" applyBorder="1"/>
    <xf numFmtId="164" fontId="20" fillId="0" borderId="30" xfId="1" applyNumberFormat="1" applyFont="1" applyBorder="1" applyAlignment="1">
      <alignment horizontal="center"/>
    </xf>
    <xf numFmtId="164" fontId="20" fillId="0" borderId="37" xfId="1" applyNumberFormat="1" applyFont="1" applyBorder="1" applyAlignment="1">
      <alignment horizontal="center"/>
    </xf>
    <xf numFmtId="0" fontId="36" fillId="0" borderId="7" xfId="0" applyFont="1" applyBorder="1" applyAlignment="1">
      <alignment horizontal="right"/>
    </xf>
    <xf numFmtId="0" fontId="37" fillId="0" borderId="24" xfId="0" applyFont="1" applyBorder="1"/>
    <xf numFmtId="0" fontId="37" fillId="0" borderId="31" xfId="0" applyFont="1" applyBorder="1"/>
    <xf numFmtId="164" fontId="25" fillId="0" borderId="24" xfId="0" applyNumberFormat="1" applyFont="1" applyBorder="1" applyAlignment="1">
      <alignment horizontal="center"/>
    </xf>
    <xf numFmtId="0" fontId="37" fillId="0" borderId="31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12" fillId="0" borderId="2" xfId="0" applyFont="1" applyBorder="1"/>
    <xf numFmtId="0" fontId="35" fillId="0" borderId="8" xfId="0" applyFont="1" applyBorder="1"/>
    <xf numFmtId="0" fontId="36" fillId="0" borderId="0" xfId="0" applyFont="1" applyAlignment="1">
      <alignment horizontal="right"/>
    </xf>
    <xf numFmtId="0" fontId="37" fillId="0" borderId="0" xfId="0" applyFont="1"/>
    <xf numFmtId="0" fontId="2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6" fillId="0" borderId="0" xfId="0" applyFont="1"/>
    <xf numFmtId="0" fontId="38" fillId="0" borderId="0" xfId="0" applyFont="1"/>
    <xf numFmtId="0" fontId="19" fillId="0" borderId="0" xfId="0" applyFont="1"/>
    <xf numFmtId="0" fontId="24" fillId="0" borderId="0" xfId="0" applyFont="1" applyAlignment="1">
      <alignment horizontal="center"/>
    </xf>
    <xf numFmtId="164" fontId="21" fillId="3" borderId="2" xfId="0" applyNumberFormat="1" applyFont="1" applyFill="1" applyBorder="1"/>
    <xf numFmtId="0" fontId="21" fillId="3" borderId="0" xfId="0" quotePrefix="1" applyFont="1" applyFill="1" applyAlignment="1">
      <alignment horizontal="center"/>
    </xf>
    <xf numFmtId="164" fontId="21" fillId="3" borderId="0" xfId="0" applyNumberFormat="1" applyFont="1" applyFill="1"/>
    <xf numFmtId="0" fontId="14" fillId="0" borderId="2" xfId="0" applyFont="1" applyBorder="1" applyAlignment="1">
      <alignment wrapText="1"/>
    </xf>
    <xf numFmtId="164" fontId="14" fillId="0" borderId="24" xfId="1" applyNumberFormat="1" applyFont="1" applyFill="1" applyBorder="1" applyAlignment="1">
      <alignment horizontal="right"/>
    </xf>
    <xf numFmtId="164" fontId="14" fillId="0" borderId="31" xfId="1" applyNumberFormat="1" applyFont="1" applyFill="1" applyBorder="1" applyAlignment="1">
      <alignment horizontal="right"/>
    </xf>
    <xf numFmtId="164" fontId="12" fillId="8" borderId="10" xfId="1" applyNumberFormat="1" applyFont="1" applyFill="1" applyBorder="1" applyAlignment="1">
      <alignment horizontal="right"/>
    </xf>
    <xf numFmtId="0" fontId="18" fillId="5" borderId="0" xfId="0" quotePrefix="1" applyFont="1" applyFill="1" applyAlignment="1">
      <alignment horizontal="center"/>
    </xf>
    <xf numFmtId="164" fontId="18" fillId="5" borderId="0" xfId="0" applyNumberFormat="1" applyFont="1" applyFill="1"/>
    <xf numFmtId="164" fontId="14" fillId="0" borderId="25" xfId="1" applyNumberFormat="1" applyFont="1" applyFill="1" applyBorder="1" applyAlignment="1">
      <alignment horizontal="right"/>
    </xf>
    <xf numFmtId="164" fontId="14" fillId="0" borderId="32" xfId="1" applyNumberFormat="1" applyFont="1" applyFill="1" applyBorder="1" applyAlignment="1">
      <alignment horizontal="right"/>
    </xf>
    <xf numFmtId="10" fontId="18" fillId="0" borderId="0" xfId="2" applyNumberFormat="1" applyFont="1" applyAlignment="1">
      <alignment horizontal="left"/>
    </xf>
    <xf numFmtId="165" fontId="18" fillId="0" borderId="0" xfId="2" applyNumberFormat="1" applyFont="1" applyAlignment="1">
      <alignment horizontal="left"/>
    </xf>
    <xf numFmtId="164" fontId="18" fillId="8" borderId="0" xfId="1" applyNumberFormat="1" applyFont="1" applyFill="1" applyBorder="1" applyAlignment="1">
      <alignment horizontal="right"/>
    </xf>
    <xf numFmtId="0" fontId="21" fillId="4" borderId="0" xfId="0" quotePrefix="1" applyFont="1" applyFill="1" applyAlignment="1">
      <alignment horizontal="center"/>
    </xf>
    <xf numFmtId="164" fontId="21" fillId="4" borderId="0" xfId="0" applyNumberFormat="1" applyFont="1" applyFill="1"/>
    <xf numFmtId="0" fontId="21" fillId="7" borderId="0" xfId="0" quotePrefix="1" applyFont="1" applyFill="1" applyAlignment="1">
      <alignment horizontal="center"/>
    </xf>
    <xf numFmtId="164" fontId="21" fillId="7" borderId="0" xfId="0" applyNumberFormat="1" applyFont="1" applyFill="1"/>
    <xf numFmtId="0" fontId="21" fillId="5" borderId="0" xfId="0" quotePrefix="1" applyFont="1" applyFill="1" applyAlignment="1">
      <alignment horizontal="center"/>
    </xf>
    <xf numFmtId="44" fontId="21" fillId="5" borderId="0" xfId="1" applyFont="1" applyFill="1"/>
    <xf numFmtId="0" fontId="21" fillId="5" borderId="2" xfId="0" quotePrefix="1" applyFont="1" applyFill="1" applyBorder="1" applyAlignment="1">
      <alignment horizontal="center"/>
    </xf>
    <xf numFmtId="44" fontId="21" fillId="5" borderId="2" xfId="1" applyFont="1" applyFill="1" applyBorder="1"/>
    <xf numFmtId="164" fontId="21" fillId="5" borderId="0" xfId="1" applyNumberFormat="1" applyFont="1" applyFill="1"/>
    <xf numFmtId="0" fontId="21" fillId="6" borderId="0" xfId="0" quotePrefix="1" applyFont="1" applyFill="1" applyAlignment="1">
      <alignment horizontal="center"/>
    </xf>
    <xf numFmtId="164" fontId="21" fillId="6" borderId="0" xfId="0" applyNumberFormat="1" applyFont="1" applyFill="1"/>
    <xf numFmtId="164" fontId="18" fillId="8" borderId="0" xfId="1" applyNumberFormat="1" applyFont="1" applyFill="1" applyBorder="1" applyAlignment="1">
      <alignment horizontal="left"/>
    </xf>
    <xf numFmtId="164" fontId="18" fillId="8" borderId="10" xfId="1" applyNumberFormat="1" applyFont="1" applyFill="1" applyBorder="1" applyAlignment="1">
      <alignment horizontal="right"/>
    </xf>
    <xf numFmtId="164" fontId="14" fillId="0" borderId="25" xfId="1" applyNumberFormat="1" applyFont="1" applyFill="1" applyBorder="1" applyAlignment="1">
      <alignment horizontal="left"/>
    </xf>
    <xf numFmtId="164" fontId="14" fillId="0" borderId="32" xfId="1" applyNumberFormat="1" applyFont="1" applyFill="1" applyBorder="1" applyAlignment="1">
      <alignment horizontal="left"/>
    </xf>
    <xf numFmtId="164" fontId="18" fillId="8" borderId="11" xfId="1" applyNumberFormat="1" applyFont="1" applyFill="1" applyBorder="1" applyAlignment="1">
      <alignment horizontal="right"/>
    </xf>
    <xf numFmtId="0" fontId="39" fillId="0" borderId="3" xfId="0" applyFont="1" applyBorder="1" applyAlignment="1">
      <alignment horizontal="right" indent="2"/>
    </xf>
    <xf numFmtId="164" fontId="35" fillId="4" borderId="6" xfId="0" applyNumberFormat="1" applyFont="1" applyFill="1" applyBorder="1"/>
    <xf numFmtId="44" fontId="35" fillId="3" borderId="32" xfId="1" applyFont="1" applyFill="1" applyBorder="1" applyAlignment="1">
      <alignment horizontal="center"/>
    </xf>
    <xf numFmtId="0" fontId="13" fillId="0" borderId="34" xfId="0" applyFont="1" applyBorder="1" applyAlignment="1">
      <alignment horizontal="center" wrapText="1"/>
    </xf>
    <xf numFmtId="164" fontId="35" fillId="0" borderId="32" xfId="1" applyNumberFormat="1" applyFont="1" applyFill="1" applyBorder="1" applyAlignment="1">
      <alignment horizontal="center" wrapText="1"/>
    </xf>
    <xf numFmtId="164" fontId="35" fillId="0" borderId="32" xfId="1" applyNumberFormat="1" applyFont="1" applyFill="1" applyBorder="1" applyAlignment="1">
      <alignment wrapText="1"/>
    </xf>
    <xf numFmtId="164" fontId="32" fillId="0" borderId="32" xfId="1" applyNumberFormat="1" applyFont="1" applyFill="1" applyBorder="1" applyAlignment="1">
      <alignment horizontal="center" wrapText="1"/>
    </xf>
    <xf numFmtId="164" fontId="32" fillId="0" borderId="32" xfId="1" applyNumberFormat="1" applyFont="1" applyFill="1" applyBorder="1" applyAlignment="1">
      <alignment horizontal="left"/>
    </xf>
    <xf numFmtId="164" fontId="32" fillId="0" borderId="31" xfId="1" applyNumberFormat="1" applyFont="1" applyFill="1" applyBorder="1" applyAlignment="1">
      <alignment horizontal="left"/>
    </xf>
    <xf numFmtId="164" fontId="35" fillId="8" borderId="32" xfId="1" applyNumberFormat="1" applyFont="1" applyFill="1" applyBorder="1" applyAlignment="1">
      <alignment horizontal="center"/>
    </xf>
    <xf numFmtId="164" fontId="32" fillId="0" borderId="32" xfId="1" applyNumberFormat="1" applyFont="1" applyFill="1" applyBorder="1" applyAlignment="1"/>
    <xf numFmtId="164" fontId="32" fillId="3" borderId="32" xfId="1" applyNumberFormat="1" applyFont="1" applyFill="1" applyBorder="1" applyAlignment="1">
      <alignment horizontal="left"/>
    </xf>
    <xf numFmtId="164" fontId="32" fillId="0" borderId="31" xfId="1" applyNumberFormat="1" applyFont="1" applyFill="1" applyBorder="1" applyAlignment="1"/>
    <xf numFmtId="164" fontId="35" fillId="8" borderId="32" xfId="1" applyNumberFormat="1" applyFont="1" applyFill="1" applyBorder="1" applyAlignment="1">
      <alignment horizontal="right"/>
    </xf>
    <xf numFmtId="164" fontId="37" fillId="0" borderId="31" xfId="1" applyNumberFormat="1" applyFont="1" applyBorder="1" applyAlignment="1">
      <alignment horizontal="center"/>
    </xf>
    <xf numFmtId="164" fontId="35" fillId="8" borderId="31" xfId="1" applyNumberFormat="1" applyFont="1" applyFill="1" applyBorder="1" applyAlignment="1">
      <alignment horizontal="right"/>
    </xf>
    <xf numFmtId="164" fontId="35" fillId="8" borderId="33" xfId="1" applyNumberFormat="1" applyFont="1" applyFill="1" applyBorder="1" applyAlignment="1">
      <alignment horizontal="right"/>
    </xf>
    <xf numFmtId="164" fontId="40" fillId="0" borderId="32" xfId="1" applyNumberFormat="1" applyFont="1" applyFill="1" applyBorder="1" applyAlignment="1"/>
    <xf numFmtId="164" fontId="40" fillId="5" borderId="32" xfId="1" applyNumberFormat="1" applyFont="1" applyFill="1" applyBorder="1" applyAlignment="1"/>
    <xf numFmtId="164" fontId="40" fillId="0" borderId="31" xfId="1" applyNumberFormat="1" applyFont="1" applyFill="1" applyBorder="1" applyAlignment="1"/>
    <xf numFmtId="164" fontId="35" fillId="0" borderId="32" xfId="1" applyNumberFormat="1" applyFont="1" applyFill="1" applyBorder="1" applyAlignment="1">
      <alignment horizontal="right" wrapText="1"/>
    </xf>
    <xf numFmtId="164" fontId="40" fillId="0" borderId="34" xfId="1" applyNumberFormat="1" applyFont="1" applyFill="1" applyBorder="1" applyAlignment="1"/>
    <xf numFmtId="164" fontId="32" fillId="0" borderId="35" xfId="1" applyNumberFormat="1" applyFont="1" applyFill="1" applyBorder="1" applyAlignment="1"/>
    <xf numFmtId="164" fontId="13" fillId="8" borderId="32" xfId="1" applyNumberFormat="1" applyFont="1" applyFill="1" applyBorder="1" applyAlignment="1">
      <alignment horizontal="right"/>
    </xf>
    <xf numFmtId="164" fontId="32" fillId="4" borderId="32" xfId="1" applyNumberFormat="1" applyFont="1" applyFill="1" applyBorder="1" applyAlignment="1">
      <alignment horizontal="left"/>
    </xf>
    <xf numFmtId="164" fontId="32" fillId="7" borderId="32" xfId="1" applyNumberFormat="1" applyFont="1" applyFill="1" applyBorder="1" applyAlignment="1">
      <alignment horizontal="left"/>
    </xf>
    <xf numFmtId="164" fontId="32" fillId="5" borderId="32" xfId="1" applyNumberFormat="1" applyFont="1" applyFill="1" applyBorder="1" applyAlignment="1">
      <alignment horizontal="left"/>
    </xf>
    <xf numFmtId="164" fontId="32" fillId="5" borderId="31" xfId="1" applyNumberFormat="1" applyFont="1" applyFill="1" applyBorder="1" applyAlignment="1">
      <alignment horizontal="left"/>
    </xf>
    <xf numFmtId="164" fontId="32" fillId="6" borderId="32" xfId="1" quotePrefix="1" applyNumberFormat="1" applyFont="1" applyFill="1" applyBorder="1" applyAlignment="1"/>
    <xf numFmtId="164" fontId="32" fillId="6" borderId="32" xfId="1" applyNumberFormat="1" applyFont="1" applyFill="1" applyBorder="1" applyAlignment="1"/>
    <xf numFmtId="164" fontId="35" fillId="0" borderId="32" xfId="1" applyNumberFormat="1" applyFont="1" applyFill="1" applyBorder="1" applyAlignment="1"/>
    <xf numFmtId="0" fontId="32" fillId="0" borderId="32" xfId="0" applyFont="1" applyBorder="1"/>
    <xf numFmtId="164" fontId="41" fillId="0" borderId="32" xfId="1" applyNumberFormat="1" applyFont="1" applyBorder="1" applyAlignment="1">
      <alignment horizontal="center"/>
    </xf>
    <xf numFmtId="164" fontId="37" fillId="0" borderId="32" xfId="1" applyNumberFormat="1" applyFont="1" applyBorder="1" applyAlignment="1">
      <alignment horizontal="center"/>
    </xf>
    <xf numFmtId="164" fontId="37" fillId="0" borderId="37" xfId="1" applyNumberFormat="1" applyFont="1" applyBorder="1" applyAlignment="1"/>
    <xf numFmtId="164" fontId="32" fillId="0" borderId="35" xfId="0" applyNumberFormat="1" applyFont="1" applyBorder="1"/>
    <xf numFmtId="164" fontId="41" fillId="0" borderId="37" xfId="1" applyNumberFormat="1" applyFont="1" applyBorder="1" applyAlignment="1">
      <alignment horizontal="center"/>
    </xf>
    <xf numFmtId="0" fontId="32" fillId="0" borderId="31" xfId="0" applyFont="1" applyBorder="1"/>
    <xf numFmtId="164" fontId="35" fillId="8" borderId="32" xfId="1" applyNumberFormat="1" applyFont="1" applyFill="1" applyBorder="1" applyAlignment="1">
      <alignment horizontal="right" wrapText="1"/>
    </xf>
    <xf numFmtId="164" fontId="35" fillId="0" borderId="31" xfId="1" applyNumberFormat="1" applyFont="1" applyFill="1" applyBorder="1" applyAlignment="1">
      <alignment horizontal="right"/>
    </xf>
    <xf numFmtId="0" fontId="10" fillId="6" borderId="0" xfId="0" applyFont="1" applyFill="1" applyAlignment="1">
      <alignment horizontal="center" wrapText="1"/>
    </xf>
  </cellXfs>
  <cellStyles count="5">
    <cellStyle name="Comma" xfId="3" builtinId="3"/>
    <cellStyle name="Currency" xfId="1" builtinId="4"/>
    <cellStyle name="Normal" xfId="0" builtinId="0"/>
    <cellStyle name="Normal 2" xfId="4" xr:uid="{B5EA1EC5-3C75-4C85-8D35-9E5CDB544824}"/>
    <cellStyle name="Percent" xfId="2" builtinId="5"/>
  </cellStyles>
  <dxfs count="43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Aptos"/>
        <family val="2"/>
        <scheme val="none"/>
      </font>
      <border diagonalUp="0" diagonalDown="0" outline="0">
        <left style="thick">
          <color indexed="64"/>
        </left>
        <right style="thick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4"/>
        <name val="Aptos"/>
        <family val="2"/>
        <scheme val="none"/>
      </font>
      <border diagonalUp="0" diagonalDown="0" outline="0">
        <left style="thick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color auto="1"/>
        <name val="Aptos"/>
        <family val="2"/>
        <scheme val="none"/>
      </font>
      <alignment vertical="bottom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00000"/>
        <name val="Aptos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color rgb="FFC00000"/>
        <name val="Aptos"/>
        <family val="2"/>
        <scheme val="none"/>
      </font>
      <alignment vertical="bottom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right style="thick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border diagonalUp="0" diagonalDown="0" outline="0">
        <left style="thick">
          <color indexed="64"/>
        </left>
        <right style="thick">
          <color indexed="64"/>
        </right>
        <top/>
        <bottom/>
      </border>
    </dxf>
    <dxf>
      <font>
        <b val="0"/>
        <strike val="0"/>
        <outline val="0"/>
        <shadow val="0"/>
        <vertAlign val="baseline"/>
        <name val="Aptos"/>
        <family val="2"/>
        <scheme val="none"/>
      </font>
      <alignment vertical="bottom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border diagonalUp="0" diagonalDown="0" outline="0">
        <left/>
        <right style="thick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color auto="1"/>
        <name val="Aptos"/>
        <family val="2"/>
        <scheme val="none"/>
      </font>
      <alignment vertical="bottom" textRotation="0" wrapText="0" indent="0" justifyLastLine="0" shrinkToFit="0" readingOrder="0"/>
      <border diagonalUp="0" diagonalDown="0" outline="0">
        <left/>
        <right style="thick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Aptos"/>
        <family val="2"/>
        <scheme val="none"/>
      </font>
      <border diagonalUp="0" diagonalDown="0" outline="0">
        <left style="thick">
          <color indexed="64"/>
        </left>
        <right style="thick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4"/>
        <name val="Aptos"/>
        <family val="2"/>
        <scheme val="none"/>
      </font>
      <border diagonalUp="0" diagonalDown="0" outline="0">
        <left style="thick">
          <color indexed="64"/>
        </left>
        <right style="thick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color auto="1"/>
        <name val="Aptos"/>
        <family val="2"/>
        <scheme val="none"/>
      </font>
      <alignment vertical="bottom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00000"/>
        <name val="Aptos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color rgb="FFC00000"/>
        <name val="Aptos"/>
        <family val="2"/>
        <scheme val="none"/>
      </font>
      <alignment vertical="bottom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right style="thick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border diagonalUp="0" diagonalDown="0" outline="0">
        <left style="thick">
          <color indexed="64"/>
        </left>
        <right style="thick">
          <color indexed="64"/>
        </right>
        <top/>
        <bottom/>
      </border>
    </dxf>
    <dxf>
      <font>
        <b val="0"/>
        <strike val="0"/>
        <outline val="0"/>
        <shadow val="0"/>
        <vertAlign val="baseline"/>
        <name val="Aptos"/>
        <family val="2"/>
        <scheme val="none"/>
      </font>
      <alignment vertical="bottom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border diagonalUp="0" diagonalDown="0" outline="0">
        <left/>
        <right style="thick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color auto="1"/>
        <name val="Aptos"/>
        <family val="2"/>
        <scheme val="none"/>
      </font>
      <alignment vertical="bottom" textRotation="0" wrapText="0" indent="0" justifyLastLine="0" shrinkToFit="0" readingOrder="0"/>
      <border diagonalUp="0" diagonalDown="0" outline="0">
        <left/>
        <right style="thick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  <alignment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CFFCC"/>
      <color rgb="FFFFFF99"/>
      <color rgb="FFFFE1E1"/>
      <color rgb="FFE2F9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01A1AE7-DAEF-4452-B739-521C65A403F7}" name="Table14" displayName="Table14" ref="A6:I200" totalsRowCount="1" headerRowDxfId="42" dataDxfId="41" totalsRowDxfId="40">
  <tableColumns count="9">
    <tableColumn id="1" xr3:uid="{43DCB4DB-F832-4767-9029-7D30B91A2FB6}" name="Revenue" dataDxfId="39" totalsRowDxfId="38"/>
    <tableColumn id="7" xr3:uid="{1472544C-9900-48DF-8F41-30CD221B41CE}" name="FY22 ACTUAL" dataDxfId="37" totalsRowDxfId="36"/>
    <tableColumn id="10" xr3:uid="{2FB650DF-C336-4604-9C59-53510383A467}" name="FY23 ACTUALS" dataDxfId="35" totalsRowDxfId="34"/>
    <tableColumn id="5" xr3:uid="{07AFFEE5-C7C4-4171-8CE9-CB46058FD2F4}" name="FY24 Actuals through 3/31/24" dataDxfId="33" totalsRowDxfId="32" dataCellStyle="Currency"/>
    <tableColumn id="8" xr3:uid="{D1066935-2AD3-4825-A040-50AB09AA0829}" name="FY24 Approved Adopted Budget" dataDxfId="31" totalsRowDxfId="30"/>
    <tableColumn id="9" xr3:uid="{909057B5-FC9A-44F5-A338-7C84C53C8603}" name="FY24 Revised Budget Approved" dataDxfId="29" totalsRowDxfId="28"/>
    <tableColumn id="2" xr3:uid="{C7B22B35-2F10-4AD7-B544-95F2D3EEAC8A}" name="FY24 Supplemental Budget" dataDxfId="27" totalsRowDxfId="26"/>
    <tableColumn id="3" xr3:uid="{20A507D5-53E1-4AA0-BB6A-57FE0295E6B3}" name="Program" dataDxfId="25" totalsRowDxfId="24"/>
    <tableColumn id="4" xr3:uid="{CB8B9FF0-DF3B-4A40-9DC4-1BFD8A7116C9}" name="Notes" dataDxfId="23" totalsRowDxfId="22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7EAF45-A003-44A0-9D4E-C9CA0E1EBABD}" name="Table1" displayName="Table1" ref="A6:I200" totalsRowCount="1" headerRowDxfId="21" dataDxfId="20" totalsRowDxfId="19">
  <tableColumns count="9">
    <tableColumn id="1" xr3:uid="{40E5A609-545A-4415-AAEF-6D85D934A8B5}" name="Revenue" dataDxfId="18" totalsRowDxfId="17"/>
    <tableColumn id="7" xr3:uid="{84EC76C4-BBE9-44E9-8FD1-0735E71BC526}" name="FY22 ACTUAL" dataDxfId="16" totalsRowDxfId="15"/>
    <tableColumn id="10" xr3:uid="{BBFD61F7-7915-40C7-B712-FB27AFA442F7}" name="FY23 ACTUALS" dataDxfId="14" totalsRowDxfId="13"/>
    <tableColumn id="5" xr3:uid="{EED9022B-2DEC-474D-94FD-7A28199A31D5}" name="FY24 Actuals through 3/31/24" dataDxfId="12" totalsRowDxfId="11" dataCellStyle="Currency"/>
    <tableColumn id="8" xr3:uid="{29D2EC47-905B-4098-A138-C2A46C7B3842}" name="FY24 Approved Adopted Budget" dataDxfId="10" totalsRowDxfId="9"/>
    <tableColumn id="9" xr3:uid="{F0D7C559-1123-48BC-93C2-D837D689B5F9}" name="FY24 Revised Budget Approved" dataDxfId="8" totalsRowDxfId="7"/>
    <tableColumn id="2" xr3:uid="{02635E12-E37C-45AA-9BF5-6C9D69140A5F}" name="FY24 Supplemental Budget" dataDxfId="6" totalsRowDxfId="5"/>
    <tableColumn id="3" xr3:uid="{8A52A8D3-17C8-4AD0-BE26-275151550624}" name="Program" dataDxfId="4" totalsRowDxfId="3"/>
    <tableColumn id="4" xr3:uid="{2531479A-C9E8-4CC7-9FA1-3E044D8F3E87}" name="Notes" dataDxfId="2" totalsRowDxfId="1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E0816-EFE3-4CD0-93FF-69063725CCC8}">
  <sheetPr>
    <tabColor rgb="FFFFFF99"/>
  </sheetPr>
  <dimension ref="A1:I217"/>
  <sheetViews>
    <sheetView zoomScaleNormal="100" workbookViewId="0">
      <pane ySplit="6" topLeftCell="A186" activePane="bottomLeft" state="frozen"/>
      <selection pane="bottomLeft" activeCell="G199" sqref="G199"/>
    </sheetView>
  </sheetViews>
  <sheetFormatPr baseColWidth="10" defaultColWidth="8.83203125" defaultRowHeight="15"/>
  <cols>
    <col min="1" max="1" width="52.83203125" style="284" customWidth="1"/>
    <col min="2" max="2" width="12.33203125" style="285" customWidth="1"/>
    <col min="3" max="3" width="13.1640625" style="285" customWidth="1"/>
    <col min="4" max="4" width="15.83203125" style="280" customWidth="1"/>
    <col min="5" max="5" width="15.1640625" style="286" customWidth="1"/>
    <col min="6" max="6" width="15.5" style="282" customWidth="1"/>
    <col min="7" max="7" width="14.1640625" style="202" customWidth="1"/>
    <col min="8" max="8" width="10.1640625" style="101" customWidth="1"/>
    <col min="9" max="9" width="67.1640625" style="76" bestFit="1" customWidth="1"/>
    <col min="10" max="16384" width="8.83203125" style="76"/>
  </cols>
  <sheetData>
    <row r="1" spans="1:9" s="49" customFormat="1" ht="31" customHeight="1">
      <c r="A1" s="46" t="s">
        <v>76</v>
      </c>
      <c r="B1" s="357" t="s">
        <v>383</v>
      </c>
      <c r="C1" s="357"/>
      <c r="D1" s="357"/>
      <c r="E1" s="357"/>
      <c r="F1" s="47"/>
      <c r="G1" s="265"/>
      <c r="H1" s="46"/>
      <c r="I1" s="46"/>
    </row>
    <row r="2" spans="1:9" s="48" customFormat="1">
      <c r="A2" s="50"/>
      <c r="B2" s="50" t="s">
        <v>324</v>
      </c>
      <c r="C2" s="50"/>
      <c r="D2" s="51">
        <f>G2</f>
        <v>10280.08</v>
      </c>
      <c r="E2" s="52">
        <v>9800</v>
      </c>
      <c r="F2" s="52">
        <v>10200.75</v>
      </c>
      <c r="G2" s="319">
        <f>10280.08</f>
        <v>10280.08</v>
      </c>
    </row>
    <row r="3" spans="1:9" s="57" customFormat="1" ht="16">
      <c r="A3" s="53"/>
      <c r="B3" s="54" t="s">
        <v>325</v>
      </c>
      <c r="C3" s="54"/>
      <c r="D3" s="55">
        <v>399</v>
      </c>
      <c r="E3" s="56">
        <v>396</v>
      </c>
      <c r="F3" s="56">
        <v>399</v>
      </c>
      <c r="G3" s="320">
        <v>399</v>
      </c>
    </row>
    <row r="4" spans="1:9" s="57" customFormat="1" ht="16">
      <c r="A4" s="53"/>
      <c r="B4" s="54"/>
      <c r="C4" s="54"/>
      <c r="D4" s="58"/>
      <c r="E4" s="59"/>
      <c r="F4" s="59"/>
      <c r="G4" s="321"/>
    </row>
    <row r="5" spans="1:9" s="63" customFormat="1" ht="30">
      <c r="A5" s="60"/>
      <c r="B5" s="60"/>
      <c r="C5" s="60"/>
      <c r="D5" s="61">
        <v>0.75</v>
      </c>
      <c r="E5" s="62" t="s">
        <v>345</v>
      </c>
      <c r="F5" s="62" t="s">
        <v>345</v>
      </c>
      <c r="G5" s="322"/>
    </row>
    <row r="6" spans="1:9" s="69" customFormat="1" ht="48">
      <c r="A6" s="64" t="s">
        <v>0</v>
      </c>
      <c r="B6" s="65" t="s">
        <v>321</v>
      </c>
      <c r="C6" s="66" t="s">
        <v>349</v>
      </c>
      <c r="D6" s="67" t="s">
        <v>396</v>
      </c>
      <c r="E6" s="66" t="s">
        <v>348</v>
      </c>
      <c r="F6" s="66" t="s">
        <v>394</v>
      </c>
      <c r="G6" s="323" t="s">
        <v>420</v>
      </c>
      <c r="H6" s="68" t="s">
        <v>102</v>
      </c>
      <c r="I6" s="68" t="s">
        <v>250</v>
      </c>
    </row>
    <row r="7" spans="1:9">
      <c r="A7" s="64" t="s">
        <v>98</v>
      </c>
      <c r="B7" s="70">
        <v>58433</v>
      </c>
      <c r="C7" s="71">
        <v>62725.4</v>
      </c>
      <c r="D7" s="72">
        <v>16085</v>
      </c>
      <c r="E7" s="73">
        <v>48000</v>
      </c>
      <c r="F7" s="73">
        <v>16775</v>
      </c>
      <c r="G7" s="324">
        <v>20555</v>
      </c>
      <c r="H7" s="74" t="s">
        <v>77</v>
      </c>
      <c r="I7" s="75"/>
    </row>
    <row r="8" spans="1:9">
      <c r="A8" s="64" t="s">
        <v>1</v>
      </c>
      <c r="B8" s="70">
        <v>1528</v>
      </c>
      <c r="C8" s="71">
        <v>27986.53</v>
      </c>
      <c r="D8" s="72">
        <v>21540</v>
      </c>
      <c r="E8" s="73">
        <v>1200</v>
      </c>
      <c r="F8" s="73">
        <v>1200</v>
      </c>
      <c r="G8" s="324">
        <v>28440</v>
      </c>
      <c r="H8" s="74" t="s">
        <v>77</v>
      </c>
      <c r="I8" s="77"/>
    </row>
    <row r="9" spans="1:9">
      <c r="A9" s="64" t="s">
        <v>2</v>
      </c>
      <c r="B9" s="70">
        <v>11691</v>
      </c>
      <c r="C9" s="71">
        <v>19014.3</v>
      </c>
      <c r="D9" s="72">
        <v>21483</v>
      </c>
      <c r="E9" s="73">
        <v>10667</v>
      </c>
      <c r="F9" s="73">
        <v>25000</v>
      </c>
      <c r="G9" s="324">
        <v>22000</v>
      </c>
      <c r="H9" s="74" t="s">
        <v>77</v>
      </c>
      <c r="I9" s="77" t="s">
        <v>344</v>
      </c>
    </row>
    <row r="10" spans="1:9">
      <c r="A10" s="64" t="s">
        <v>3</v>
      </c>
      <c r="B10" s="70">
        <v>440</v>
      </c>
      <c r="C10" s="71">
        <v>240</v>
      </c>
      <c r="D10" s="72">
        <v>640</v>
      </c>
      <c r="E10" s="73">
        <v>120</v>
      </c>
      <c r="F10" s="73">
        <v>590</v>
      </c>
      <c r="G10" s="324">
        <v>640</v>
      </c>
      <c r="H10" s="74" t="s">
        <v>77</v>
      </c>
      <c r="I10" s="77" t="s">
        <v>251</v>
      </c>
    </row>
    <row r="11" spans="1:9">
      <c r="A11" s="64" t="s">
        <v>262</v>
      </c>
      <c r="B11" s="70">
        <v>303</v>
      </c>
      <c r="C11" s="71">
        <v>2042.9</v>
      </c>
      <c r="D11" s="72">
        <v>1822</v>
      </c>
      <c r="E11" s="73">
        <v>0</v>
      </c>
      <c r="F11" s="73">
        <v>1000</v>
      </c>
      <c r="G11" s="324">
        <v>1822</v>
      </c>
      <c r="H11" s="74" t="s">
        <v>77</v>
      </c>
      <c r="I11" s="77" t="s">
        <v>352</v>
      </c>
    </row>
    <row r="12" spans="1:9">
      <c r="A12" s="64" t="s">
        <v>263</v>
      </c>
      <c r="B12" s="78">
        <v>19146</v>
      </c>
      <c r="C12" s="79">
        <v>18863.87</v>
      </c>
      <c r="D12" s="72">
        <v>21318</v>
      </c>
      <c r="E12" s="73">
        <v>20000</v>
      </c>
      <c r="F12" s="73">
        <v>20000</v>
      </c>
      <c r="G12" s="324">
        <v>21318</v>
      </c>
      <c r="H12" s="74" t="s">
        <v>77</v>
      </c>
      <c r="I12" s="77" t="s">
        <v>395</v>
      </c>
    </row>
    <row r="13" spans="1:9">
      <c r="A13" s="64" t="s">
        <v>4</v>
      </c>
      <c r="B13" s="70">
        <v>487</v>
      </c>
      <c r="C13" s="71">
        <v>1160</v>
      </c>
      <c r="D13" s="72">
        <v>358</v>
      </c>
      <c r="E13" s="73">
        <v>100</v>
      </c>
      <c r="F13" s="73">
        <v>500</v>
      </c>
      <c r="G13" s="324">
        <v>358</v>
      </c>
      <c r="H13" s="74" t="s">
        <v>77</v>
      </c>
      <c r="I13" s="77" t="s">
        <v>252</v>
      </c>
    </row>
    <row r="14" spans="1:9">
      <c r="A14" s="64" t="s">
        <v>254</v>
      </c>
      <c r="B14" s="70">
        <v>0</v>
      </c>
      <c r="C14" s="71">
        <v>2997.35</v>
      </c>
      <c r="D14" s="72">
        <v>1111</v>
      </c>
      <c r="E14" s="73">
        <v>1500</v>
      </c>
      <c r="F14" s="73">
        <v>3000</v>
      </c>
      <c r="G14" s="324">
        <v>1100</v>
      </c>
      <c r="H14" s="74" t="s">
        <v>77</v>
      </c>
      <c r="I14" s="77" t="s">
        <v>255</v>
      </c>
    </row>
    <row r="15" spans="1:9">
      <c r="A15" s="64" t="s">
        <v>5</v>
      </c>
      <c r="B15" s="70">
        <v>841</v>
      </c>
      <c r="C15" s="71">
        <v>2955.15</v>
      </c>
      <c r="D15" s="72">
        <v>1536</v>
      </c>
      <c r="E15" s="73">
        <v>0</v>
      </c>
      <c r="F15" s="73">
        <v>1500</v>
      </c>
      <c r="G15" s="324">
        <v>1500</v>
      </c>
      <c r="H15" s="74" t="s">
        <v>77</v>
      </c>
      <c r="I15" s="77"/>
    </row>
    <row r="16" spans="1:9">
      <c r="A16" s="64" t="s">
        <v>253</v>
      </c>
      <c r="B16" s="70">
        <v>18285</v>
      </c>
      <c r="C16" s="71">
        <v>10207</v>
      </c>
      <c r="D16" s="72">
        <v>14047</v>
      </c>
      <c r="E16" s="73">
        <v>0</v>
      </c>
      <c r="F16" s="73">
        <v>24790</v>
      </c>
      <c r="G16" s="324">
        <v>17500</v>
      </c>
      <c r="H16" s="74" t="s">
        <v>77</v>
      </c>
      <c r="I16" s="77"/>
    </row>
    <row r="17" spans="1:9">
      <c r="A17" s="64" t="s">
        <v>6</v>
      </c>
      <c r="B17" s="70">
        <v>5245</v>
      </c>
      <c r="C17" s="71">
        <v>1920</v>
      </c>
      <c r="D17" s="72">
        <v>1540</v>
      </c>
      <c r="E17" s="73">
        <f>160*12</f>
        <v>1920</v>
      </c>
      <c r="F17" s="73">
        <v>1920</v>
      </c>
      <c r="G17" s="324">
        <v>2020</v>
      </c>
      <c r="H17" s="74" t="s">
        <v>77</v>
      </c>
      <c r="I17" s="77" t="s">
        <v>304</v>
      </c>
    </row>
    <row r="18" spans="1:9">
      <c r="A18" s="64" t="s">
        <v>7</v>
      </c>
      <c r="B18" s="70">
        <f>1146+24</f>
        <v>1170</v>
      </c>
      <c r="C18" s="71">
        <f>1279.72+276.57</f>
        <v>1556.29</v>
      </c>
      <c r="D18" s="72">
        <v>4130</v>
      </c>
      <c r="E18" s="73">
        <v>1000</v>
      </c>
      <c r="F18" s="73">
        <v>1000</v>
      </c>
      <c r="G18" s="324">
        <v>4130</v>
      </c>
      <c r="H18" s="74" t="s">
        <v>77</v>
      </c>
      <c r="I18" s="77"/>
    </row>
    <row r="19" spans="1:9">
      <c r="A19" s="64" t="s">
        <v>8</v>
      </c>
      <c r="B19" s="70">
        <v>2438</v>
      </c>
      <c r="C19" s="71">
        <v>45461.11</v>
      </c>
      <c r="D19" s="72">
        <v>5558</v>
      </c>
      <c r="E19" s="73">
        <v>0</v>
      </c>
      <c r="F19" s="73">
        <v>3000</v>
      </c>
      <c r="G19" s="324">
        <v>8800</v>
      </c>
      <c r="H19" s="74" t="s">
        <v>77</v>
      </c>
      <c r="I19" s="77" t="s">
        <v>351</v>
      </c>
    </row>
    <row r="20" spans="1:9">
      <c r="A20" s="64" t="s">
        <v>9</v>
      </c>
      <c r="B20" s="70">
        <f>0</f>
        <v>0</v>
      </c>
      <c r="C20" s="71">
        <v>0</v>
      </c>
      <c r="D20" s="72">
        <v>0</v>
      </c>
      <c r="E20" s="73">
        <v>1000</v>
      </c>
      <c r="F20" s="73">
        <v>1000</v>
      </c>
      <c r="G20" s="324">
        <v>0</v>
      </c>
      <c r="H20" s="74" t="s">
        <v>77</v>
      </c>
      <c r="I20" s="77"/>
    </row>
    <row r="21" spans="1:9" ht="16" thickBot="1">
      <c r="A21" s="80" t="s">
        <v>10</v>
      </c>
      <c r="B21" s="81">
        <f>73735</f>
        <v>73735</v>
      </c>
      <c r="C21" s="82">
        <v>196694.84</v>
      </c>
      <c r="D21" s="83">
        <v>135585</v>
      </c>
      <c r="E21" s="84">
        <v>117000</v>
      </c>
      <c r="F21" s="84">
        <v>234463</v>
      </c>
      <c r="G21" s="325">
        <v>235585</v>
      </c>
      <c r="H21" s="85" t="s">
        <v>77</v>
      </c>
      <c r="I21" s="287" t="s">
        <v>411</v>
      </c>
    </row>
    <row r="22" spans="1:9" s="91" customFormat="1">
      <c r="A22" s="87" t="s">
        <v>11</v>
      </c>
      <c r="B22" s="88">
        <f t="shared" ref="B22:E22" si="0">SUM(B7:B21)</f>
        <v>193742</v>
      </c>
      <c r="C22" s="89">
        <f t="shared" si="0"/>
        <v>393824.74</v>
      </c>
      <c r="D22" s="88">
        <f t="shared" si="0"/>
        <v>246753</v>
      </c>
      <c r="E22" s="89">
        <f t="shared" si="0"/>
        <v>202507</v>
      </c>
      <c r="F22" s="89">
        <v>335738</v>
      </c>
      <c r="G22" s="326">
        <f t="shared" ref="G22" si="1">SUM(G7:G21)</f>
        <v>365768</v>
      </c>
      <c r="H22" s="90"/>
      <c r="I22" s="90"/>
    </row>
    <row r="23" spans="1:9">
      <c r="A23" s="64" t="s">
        <v>12</v>
      </c>
      <c r="B23" s="92"/>
      <c r="C23" s="93"/>
      <c r="D23" s="72"/>
      <c r="E23" s="73"/>
      <c r="F23" s="73"/>
      <c r="G23" s="327"/>
      <c r="H23" s="94"/>
      <c r="I23" s="77"/>
    </row>
    <row r="24" spans="1:9">
      <c r="A24" s="95" t="s">
        <v>101</v>
      </c>
      <c r="B24" s="96">
        <v>37364</v>
      </c>
      <c r="C24" s="97">
        <v>100754</v>
      </c>
      <c r="D24" s="98">
        <v>0</v>
      </c>
      <c r="E24" s="99">
        <v>35000</v>
      </c>
      <c r="F24" s="99">
        <v>100000</v>
      </c>
      <c r="G24" s="328">
        <v>100000</v>
      </c>
      <c r="H24" s="288" t="s">
        <v>77</v>
      </c>
      <c r="I24" s="289" t="s">
        <v>341</v>
      </c>
    </row>
    <row r="25" spans="1:9">
      <c r="A25" s="100" t="s">
        <v>353</v>
      </c>
      <c r="B25" s="70">
        <v>0</v>
      </c>
      <c r="C25" s="71">
        <v>0</v>
      </c>
      <c r="D25" s="72">
        <v>82176</v>
      </c>
      <c r="E25" s="73">
        <v>0</v>
      </c>
      <c r="F25" s="73">
        <v>84564.533333333326</v>
      </c>
      <c r="G25" s="324">
        <v>99928</v>
      </c>
      <c r="H25" s="74" t="s">
        <v>77</v>
      </c>
      <c r="I25" s="77"/>
    </row>
    <row r="26" spans="1:9" s="101" customFormat="1">
      <c r="A26" s="64" t="s">
        <v>322</v>
      </c>
      <c r="B26" s="70">
        <v>9665</v>
      </c>
      <c r="C26" s="71">
        <v>10749.6</v>
      </c>
      <c r="D26" s="72">
        <v>7897</v>
      </c>
      <c r="E26" s="73">
        <v>12188</v>
      </c>
      <c r="F26" s="73">
        <v>12188</v>
      </c>
      <c r="G26" s="324">
        <v>7897</v>
      </c>
      <c r="H26" s="74" t="s">
        <v>77</v>
      </c>
      <c r="I26" s="77"/>
    </row>
    <row r="27" spans="1:9">
      <c r="A27" s="64" t="s">
        <v>13</v>
      </c>
      <c r="B27" s="70">
        <v>128321</v>
      </c>
      <c r="C27" s="71">
        <v>140229.57</v>
      </c>
      <c r="D27" s="72">
        <v>118144</v>
      </c>
      <c r="E27" s="73">
        <f>11566.63*12</f>
        <v>138799.56</v>
      </c>
      <c r="F27" s="73">
        <v>158780.04</v>
      </c>
      <c r="G27" s="324">
        <v>156897</v>
      </c>
      <c r="H27" s="74" t="s">
        <v>77</v>
      </c>
      <c r="I27" s="77" t="s">
        <v>260</v>
      </c>
    </row>
    <row r="28" spans="1:9">
      <c r="A28" s="64" t="s">
        <v>14</v>
      </c>
      <c r="B28" s="70">
        <v>192</v>
      </c>
      <c r="C28" s="71">
        <v>0</v>
      </c>
      <c r="D28" s="72">
        <v>0</v>
      </c>
      <c r="E28" s="73">
        <v>0</v>
      </c>
      <c r="F28" s="73">
        <v>0</v>
      </c>
      <c r="G28" s="324">
        <v>0</v>
      </c>
      <c r="H28" s="74" t="s">
        <v>77</v>
      </c>
      <c r="I28" s="77"/>
    </row>
    <row r="29" spans="1:9">
      <c r="A29" s="64" t="s">
        <v>15</v>
      </c>
      <c r="B29" s="70">
        <v>355</v>
      </c>
      <c r="C29" s="71">
        <v>335.82</v>
      </c>
      <c r="D29" s="72">
        <v>750</v>
      </c>
      <c r="E29" s="73">
        <v>548</v>
      </c>
      <c r="F29" s="73">
        <v>750</v>
      </c>
      <c r="G29" s="324">
        <v>750</v>
      </c>
      <c r="H29" s="74" t="s">
        <v>77</v>
      </c>
      <c r="I29" s="77" t="s">
        <v>347</v>
      </c>
    </row>
    <row r="30" spans="1:9">
      <c r="A30" s="64" t="s">
        <v>328</v>
      </c>
      <c r="B30" s="70">
        <v>14387</v>
      </c>
      <c r="C30" s="71">
        <v>318.14</v>
      </c>
      <c r="D30" s="72">
        <v>0</v>
      </c>
      <c r="E30" s="73">
        <v>0</v>
      </c>
      <c r="F30" s="73">
        <v>0</v>
      </c>
      <c r="G30" s="324">
        <v>0</v>
      </c>
      <c r="H30" s="74"/>
      <c r="I30" s="77"/>
    </row>
    <row r="31" spans="1:9">
      <c r="A31" s="64" t="s">
        <v>329</v>
      </c>
      <c r="B31" s="70">
        <v>61551</v>
      </c>
      <c r="C31" s="71">
        <v>1965.19</v>
      </c>
      <c r="D31" s="72">
        <v>2070</v>
      </c>
      <c r="E31" s="73">
        <v>0</v>
      </c>
      <c r="F31" s="73">
        <v>0</v>
      </c>
      <c r="G31" s="324">
        <v>2070</v>
      </c>
      <c r="H31" s="74"/>
      <c r="I31" s="77"/>
    </row>
    <row r="32" spans="1:9" ht="16" thickBot="1">
      <c r="A32" s="80" t="s">
        <v>16</v>
      </c>
      <c r="B32" s="81">
        <v>0</v>
      </c>
      <c r="C32" s="82">
        <v>0</v>
      </c>
      <c r="D32" s="83">
        <v>310</v>
      </c>
      <c r="E32" s="84">
        <v>250</v>
      </c>
      <c r="F32" s="84">
        <v>0</v>
      </c>
      <c r="G32" s="325">
        <v>310</v>
      </c>
      <c r="H32" s="85" t="s">
        <v>77</v>
      </c>
      <c r="I32" s="86"/>
    </row>
    <row r="33" spans="1:9" s="91" customFormat="1">
      <c r="A33" s="87" t="s">
        <v>17</v>
      </c>
      <c r="B33" s="88">
        <f>SUM(B24:B32)</f>
        <v>251835</v>
      </c>
      <c r="C33" s="89">
        <f t="shared" ref="C33:E33" si="2">SUM(C24:C32)</f>
        <v>254352.32000000004</v>
      </c>
      <c r="D33" s="88">
        <f t="shared" si="2"/>
        <v>211347</v>
      </c>
      <c r="E33" s="89">
        <f t="shared" si="2"/>
        <v>186785.56</v>
      </c>
      <c r="F33" s="89">
        <v>356282.57333333336</v>
      </c>
      <c r="G33" s="326">
        <f t="shared" ref="G33" si="3">SUM(G24:G32)</f>
        <v>367852</v>
      </c>
      <c r="H33" s="90"/>
      <c r="I33" s="90"/>
    </row>
    <row r="34" spans="1:9">
      <c r="A34" s="64" t="s">
        <v>18</v>
      </c>
      <c r="B34" s="92"/>
      <c r="C34" s="93"/>
      <c r="D34" s="72"/>
      <c r="E34" s="102"/>
      <c r="F34" s="73"/>
      <c r="G34" s="327"/>
      <c r="H34" s="94"/>
      <c r="I34" s="77"/>
    </row>
    <row r="35" spans="1:9" s="104" customFormat="1">
      <c r="A35" s="103" t="s">
        <v>264</v>
      </c>
      <c r="B35" s="70">
        <v>16885</v>
      </c>
      <c r="C35" s="71">
        <v>13508</v>
      </c>
      <c r="D35" s="72">
        <v>3377</v>
      </c>
      <c r="E35" s="73">
        <v>0</v>
      </c>
      <c r="F35" s="73">
        <v>3377</v>
      </c>
      <c r="G35" s="327">
        <v>3377</v>
      </c>
      <c r="H35" s="74" t="s">
        <v>77</v>
      </c>
      <c r="I35" s="77"/>
    </row>
    <row r="36" spans="1:9" s="101" customFormat="1">
      <c r="A36" s="103" t="s">
        <v>397</v>
      </c>
      <c r="B36" s="70">
        <v>0</v>
      </c>
      <c r="C36" s="71">
        <v>0</v>
      </c>
      <c r="D36" s="105">
        <v>74584</v>
      </c>
      <c r="E36" s="73">
        <v>0</v>
      </c>
      <c r="F36" s="73">
        <v>0</v>
      </c>
      <c r="G36" s="327">
        <v>90718.61</v>
      </c>
      <c r="H36" s="74" t="s">
        <v>77</v>
      </c>
      <c r="I36" s="77"/>
    </row>
    <row r="37" spans="1:9" s="104" customFormat="1">
      <c r="A37" s="103" t="s">
        <v>323</v>
      </c>
      <c r="B37" s="70">
        <v>9097</v>
      </c>
      <c r="C37" s="71">
        <v>8911.91</v>
      </c>
      <c r="D37" s="72">
        <v>9282</v>
      </c>
      <c r="E37" s="73">
        <v>5000</v>
      </c>
      <c r="F37" s="73">
        <v>5000</v>
      </c>
      <c r="G37" s="327">
        <v>9200</v>
      </c>
      <c r="H37" s="74" t="s">
        <v>77</v>
      </c>
      <c r="I37" s="77"/>
    </row>
    <row r="38" spans="1:9" s="104" customFormat="1">
      <c r="A38" s="103" t="s">
        <v>327</v>
      </c>
      <c r="B38" s="70">
        <v>64466</v>
      </c>
      <c r="C38" s="71">
        <v>0</v>
      </c>
      <c r="D38" s="72">
        <v>0</v>
      </c>
      <c r="E38" s="73">
        <v>0</v>
      </c>
      <c r="F38" s="73">
        <v>0</v>
      </c>
      <c r="G38" s="327">
        <v>0</v>
      </c>
      <c r="H38" s="74" t="s">
        <v>77</v>
      </c>
      <c r="I38" s="77"/>
    </row>
    <row r="39" spans="1:9" s="104" customFormat="1" ht="16" thickBot="1">
      <c r="A39" s="106" t="s">
        <v>326</v>
      </c>
      <c r="B39" s="81">
        <v>163243</v>
      </c>
      <c r="C39" s="82">
        <v>117688</v>
      </c>
      <c r="D39" s="83">
        <v>0</v>
      </c>
      <c r="E39" s="84">
        <v>0</v>
      </c>
      <c r="F39" s="84">
        <v>0</v>
      </c>
      <c r="G39" s="329">
        <v>0</v>
      </c>
      <c r="H39" s="85" t="s">
        <v>77</v>
      </c>
      <c r="I39" s="86"/>
    </row>
    <row r="40" spans="1:9" s="49" customFormat="1">
      <c r="A40" s="107" t="s">
        <v>19</v>
      </c>
      <c r="B40" s="108">
        <f>SUM(B35:B39)</f>
        <v>253691</v>
      </c>
      <c r="C40" s="109">
        <f t="shared" ref="C40:E40" si="4">SUM(C35:C39)</f>
        <v>140107.91</v>
      </c>
      <c r="D40" s="108">
        <f t="shared" si="4"/>
        <v>87243</v>
      </c>
      <c r="E40" s="109">
        <f t="shared" si="4"/>
        <v>5000</v>
      </c>
      <c r="F40" s="109">
        <v>8377</v>
      </c>
      <c r="G40" s="330">
        <f>SUM(G35:G39)</f>
        <v>103295.61</v>
      </c>
      <c r="H40" s="110"/>
      <c r="I40" s="110"/>
    </row>
    <row r="41" spans="1:9">
      <c r="A41" s="64" t="s">
        <v>20</v>
      </c>
      <c r="B41" s="92"/>
      <c r="C41" s="93"/>
      <c r="D41" s="72"/>
      <c r="E41" s="102"/>
      <c r="F41" s="73"/>
      <c r="G41" s="327"/>
      <c r="H41" s="94"/>
      <c r="I41" s="77"/>
    </row>
    <row r="42" spans="1:9" ht="16" thickBot="1">
      <c r="A42" s="80" t="s">
        <v>21</v>
      </c>
      <c r="B42" s="81">
        <v>3386619</v>
      </c>
      <c r="C42" s="82">
        <v>3657198.62</v>
      </c>
      <c r="D42" s="83">
        <v>3076314</v>
      </c>
      <c r="E42" s="84">
        <v>3801600</v>
      </c>
      <c r="F42" s="84">
        <v>4070099.25</v>
      </c>
      <c r="G42" s="331">
        <f t="shared" ref="G42" si="5">G2*G3</f>
        <v>4101751.92</v>
      </c>
      <c r="H42" s="85" t="s">
        <v>77</v>
      </c>
      <c r="I42" s="86"/>
    </row>
    <row r="43" spans="1:9" s="49" customFormat="1" ht="16" thickBot="1">
      <c r="A43" s="290" t="s">
        <v>22</v>
      </c>
      <c r="B43" s="291">
        <f t="shared" ref="B43:E43" si="6">SUM(B42)</f>
        <v>3386619</v>
      </c>
      <c r="C43" s="292">
        <f t="shared" si="6"/>
        <v>3657198.62</v>
      </c>
      <c r="D43" s="291">
        <f t="shared" si="6"/>
        <v>3076314</v>
      </c>
      <c r="E43" s="292">
        <f t="shared" si="6"/>
        <v>3801600</v>
      </c>
      <c r="F43" s="292">
        <v>4070099.25</v>
      </c>
      <c r="G43" s="356">
        <f>SUM(G42)</f>
        <v>4101751.92</v>
      </c>
      <c r="H43" s="114"/>
      <c r="I43" s="115"/>
    </row>
    <row r="44" spans="1:9" s="49" customFormat="1" ht="17" thickBot="1">
      <c r="A44" s="116" t="s">
        <v>23</v>
      </c>
      <c r="B44" s="117">
        <f>B22+B33+B40+B43</f>
        <v>4085887</v>
      </c>
      <c r="C44" s="118">
        <f t="shared" ref="C44" si="7">C22+C33+C40+C43</f>
        <v>4445483.59</v>
      </c>
      <c r="D44" s="117">
        <f>D22+D33+D40+D43</f>
        <v>3621657</v>
      </c>
      <c r="E44" s="118">
        <f t="shared" ref="E44:G44" si="8">E22+E33+E40+E43</f>
        <v>4195892.5599999996</v>
      </c>
      <c r="F44" s="118">
        <f t="shared" si="8"/>
        <v>4770496.8233333332</v>
      </c>
      <c r="G44" s="333">
        <f t="shared" si="8"/>
        <v>4938667.53</v>
      </c>
      <c r="H44" s="293"/>
      <c r="I44" s="293"/>
    </row>
    <row r="45" spans="1:9">
      <c r="A45" s="64"/>
      <c r="B45" s="92"/>
      <c r="C45" s="93"/>
      <c r="D45" s="120"/>
      <c r="E45" s="121"/>
      <c r="F45" s="122"/>
      <c r="G45" s="327"/>
      <c r="H45" s="94"/>
      <c r="I45" s="77"/>
    </row>
    <row r="46" spans="1:9">
      <c r="A46" s="64" t="s">
        <v>24</v>
      </c>
      <c r="B46" s="92"/>
      <c r="C46" s="93"/>
      <c r="D46" s="120"/>
      <c r="E46" s="121"/>
      <c r="F46" s="122"/>
      <c r="G46" s="327"/>
      <c r="H46" s="94"/>
      <c r="I46" s="77"/>
    </row>
    <row r="47" spans="1:9">
      <c r="A47" s="123" t="s">
        <v>94</v>
      </c>
      <c r="B47" s="92"/>
      <c r="C47" s="93"/>
      <c r="D47" s="120"/>
      <c r="E47" s="121"/>
      <c r="F47" s="122"/>
      <c r="G47" s="327"/>
      <c r="H47" s="94"/>
      <c r="I47" s="77"/>
    </row>
    <row r="48" spans="1:9" s="131" customFormat="1">
      <c r="A48" s="124" t="s">
        <v>25</v>
      </c>
      <c r="B48" s="125">
        <v>258860</v>
      </c>
      <c r="C48" s="126">
        <v>272632.27</v>
      </c>
      <c r="D48" s="127">
        <v>228938</v>
      </c>
      <c r="E48" s="128">
        <v>285495</v>
      </c>
      <c r="F48" s="128">
        <v>305250</v>
      </c>
      <c r="G48" s="334">
        <f>305250</f>
        <v>305250</v>
      </c>
      <c r="H48" s="129" t="s">
        <v>81</v>
      </c>
      <c r="I48" s="130"/>
    </row>
    <row r="49" spans="1:9" s="131" customFormat="1">
      <c r="A49" s="132" t="s">
        <v>88</v>
      </c>
      <c r="B49" s="133">
        <v>0</v>
      </c>
      <c r="C49" s="134">
        <v>0</v>
      </c>
      <c r="D49" s="135">
        <v>0</v>
      </c>
      <c r="E49" s="136">
        <v>0</v>
      </c>
      <c r="F49" s="136">
        <v>66096</v>
      </c>
      <c r="G49" s="335">
        <v>0</v>
      </c>
      <c r="H49" s="294" t="s">
        <v>78</v>
      </c>
      <c r="I49" s="295"/>
    </row>
    <row r="50" spans="1:9" s="131" customFormat="1">
      <c r="A50" s="132" t="s">
        <v>89</v>
      </c>
      <c r="B50" s="133">
        <v>1030151</v>
      </c>
      <c r="C50" s="134">
        <v>1101785.47</v>
      </c>
      <c r="D50" s="135">
        <f>970079</f>
        <v>970079</v>
      </c>
      <c r="E50" s="136">
        <v>1193480</v>
      </c>
      <c r="F50" s="136">
        <v>651051.42999999993</v>
      </c>
      <c r="G50" s="335">
        <v>1288541</v>
      </c>
      <c r="H50" s="294" t="s">
        <v>79</v>
      </c>
      <c r="I50" s="295" t="s">
        <v>412</v>
      </c>
    </row>
    <row r="51" spans="1:9" s="131" customFormat="1">
      <c r="A51" s="132" t="s">
        <v>90</v>
      </c>
      <c r="B51" s="133">
        <v>0</v>
      </c>
      <c r="C51" s="134">
        <v>0</v>
      </c>
      <c r="D51" s="135">
        <v>0</v>
      </c>
      <c r="E51" s="136">
        <v>0</v>
      </c>
      <c r="F51" s="136">
        <v>358820</v>
      </c>
      <c r="G51" s="335">
        <v>0</v>
      </c>
      <c r="H51" s="294" t="s">
        <v>84</v>
      </c>
      <c r="I51" s="295"/>
    </row>
    <row r="52" spans="1:9" s="131" customFormat="1">
      <c r="A52" s="132" t="s">
        <v>91</v>
      </c>
      <c r="B52" s="133">
        <v>0</v>
      </c>
      <c r="C52" s="134">
        <v>0</v>
      </c>
      <c r="D52" s="135">
        <v>0</v>
      </c>
      <c r="E52" s="136">
        <v>0</v>
      </c>
      <c r="F52" s="136">
        <v>228864</v>
      </c>
      <c r="G52" s="335">
        <v>0</v>
      </c>
      <c r="H52" s="294" t="s">
        <v>80</v>
      </c>
      <c r="I52" s="295"/>
    </row>
    <row r="53" spans="1:9" s="131" customFormat="1">
      <c r="A53" s="124" t="s">
        <v>257</v>
      </c>
      <c r="B53" s="125">
        <v>238480</v>
      </c>
      <c r="C53" s="126">
        <v>238419.04</v>
      </c>
      <c r="D53" s="127">
        <v>186219</v>
      </c>
      <c r="E53" s="128">
        <v>527414</v>
      </c>
      <c r="F53" s="128">
        <v>263014</v>
      </c>
      <c r="G53" s="334">
        <v>244223</v>
      </c>
      <c r="H53" s="129" t="s">
        <v>85</v>
      </c>
      <c r="I53" s="130"/>
    </row>
    <row r="54" spans="1:9" s="138" customFormat="1">
      <c r="A54" s="137" t="s">
        <v>333</v>
      </c>
      <c r="B54" s="125">
        <v>0</v>
      </c>
      <c r="C54" s="126">
        <v>0</v>
      </c>
      <c r="D54" s="127">
        <v>53278</v>
      </c>
      <c r="E54" s="128">
        <v>0</v>
      </c>
      <c r="F54" s="128">
        <v>143090</v>
      </c>
      <c r="G54" s="334">
        <v>65301</v>
      </c>
      <c r="H54" s="129" t="s">
        <v>332</v>
      </c>
      <c r="I54" s="130"/>
    </row>
    <row r="55" spans="1:9" s="138" customFormat="1">
      <c r="A55" s="139" t="s">
        <v>398</v>
      </c>
      <c r="B55" s="125">
        <v>0</v>
      </c>
      <c r="C55" s="126">
        <v>0</v>
      </c>
      <c r="D55" s="127">
        <v>1422</v>
      </c>
      <c r="E55" s="140">
        <v>0</v>
      </c>
      <c r="F55" s="128">
        <v>0</v>
      </c>
      <c r="G55" s="334">
        <v>4266</v>
      </c>
      <c r="H55" s="74">
        <v>2140</v>
      </c>
      <c r="I55" s="130"/>
    </row>
    <row r="56" spans="1:9" s="138" customFormat="1">
      <c r="A56" s="137" t="s">
        <v>334</v>
      </c>
      <c r="B56" s="125">
        <v>0</v>
      </c>
      <c r="C56" s="126">
        <v>0</v>
      </c>
      <c r="D56" s="127">
        <v>27373</v>
      </c>
      <c r="E56" s="128"/>
      <c r="F56" s="128">
        <v>66294</v>
      </c>
      <c r="G56" s="334">
        <v>38422</v>
      </c>
      <c r="H56" s="129">
        <v>2150</v>
      </c>
      <c r="I56" s="130"/>
    </row>
    <row r="57" spans="1:9" s="131" customFormat="1">
      <c r="A57" s="124" t="s">
        <v>256</v>
      </c>
      <c r="B57" s="125">
        <v>12622</v>
      </c>
      <c r="C57" s="126">
        <v>8044.47</v>
      </c>
      <c r="D57" s="127">
        <v>12328</v>
      </c>
      <c r="E57" s="128">
        <v>7950</v>
      </c>
      <c r="F57" s="128">
        <v>9000</v>
      </c>
      <c r="G57" s="334">
        <v>16376</v>
      </c>
      <c r="H57" s="129" t="s">
        <v>109</v>
      </c>
      <c r="I57" s="130"/>
    </row>
    <row r="58" spans="1:9" s="131" customFormat="1">
      <c r="A58" s="124" t="s">
        <v>96</v>
      </c>
      <c r="B58" s="125">
        <v>15726</v>
      </c>
      <c r="C58" s="126">
        <v>23171.94</v>
      </c>
      <c r="D58" s="127">
        <v>18800</v>
      </c>
      <c r="E58" s="128">
        <v>21000</v>
      </c>
      <c r="F58" s="128">
        <v>25000</v>
      </c>
      <c r="G58" s="334">
        <v>24382</v>
      </c>
      <c r="H58" s="129" t="s">
        <v>85</v>
      </c>
      <c r="I58" s="130"/>
    </row>
    <row r="59" spans="1:9" s="131" customFormat="1">
      <c r="A59" s="124" t="s">
        <v>26</v>
      </c>
      <c r="B59" s="125">
        <v>20218</v>
      </c>
      <c r="C59" s="126">
        <v>40597</v>
      </c>
      <c r="D59" s="127">
        <v>38724</v>
      </c>
      <c r="E59" s="128">
        <v>45823</v>
      </c>
      <c r="F59" s="128">
        <v>17700</v>
      </c>
      <c r="G59" s="334">
        <v>63953</v>
      </c>
      <c r="H59" s="129" t="s">
        <v>85</v>
      </c>
      <c r="I59" s="130"/>
    </row>
    <row r="60" spans="1:9" s="131" customFormat="1">
      <c r="A60" s="124" t="s">
        <v>399</v>
      </c>
      <c r="B60" s="125">
        <v>0</v>
      </c>
      <c r="C60" s="126">
        <v>0</v>
      </c>
      <c r="D60" s="127">
        <v>39267</v>
      </c>
      <c r="E60" s="140"/>
      <c r="F60" s="128"/>
      <c r="G60" s="334">
        <v>64067</v>
      </c>
      <c r="H60" s="74">
        <v>1700</v>
      </c>
      <c r="I60" s="130"/>
    </row>
    <row r="61" spans="1:9" s="131" customFormat="1">
      <c r="A61" s="124" t="s">
        <v>27</v>
      </c>
      <c r="B61" s="125">
        <v>66163</v>
      </c>
      <c r="C61" s="126">
        <v>69310.350000000006</v>
      </c>
      <c r="D61" s="127">
        <v>57750</v>
      </c>
      <c r="E61" s="128">
        <v>72870</v>
      </c>
      <c r="F61" s="128">
        <v>77000</v>
      </c>
      <c r="G61" s="334">
        <v>77000</v>
      </c>
      <c r="H61" s="129" t="s">
        <v>81</v>
      </c>
      <c r="I61" s="130"/>
    </row>
    <row r="62" spans="1:9" s="131" customFormat="1" ht="16" thickBot="1">
      <c r="A62" s="141" t="s">
        <v>28</v>
      </c>
      <c r="B62" s="142">
        <v>44063</v>
      </c>
      <c r="C62" s="143">
        <v>27775.040000000001</v>
      </c>
      <c r="D62" s="144">
        <v>21974</v>
      </c>
      <c r="E62" s="145">
        <v>29005</v>
      </c>
      <c r="F62" s="145">
        <v>29300</v>
      </c>
      <c r="G62" s="336">
        <v>29300</v>
      </c>
      <c r="H62" s="146" t="s">
        <v>82</v>
      </c>
      <c r="I62" s="147"/>
    </row>
    <row r="63" spans="1:9" s="49" customFormat="1">
      <c r="A63" s="241" t="s">
        <v>93</v>
      </c>
      <c r="B63" s="296">
        <f t="shared" ref="B63:G63" si="9">SUM(B48:B62)</f>
        <v>1686283</v>
      </c>
      <c r="C63" s="297">
        <f t="shared" si="9"/>
        <v>1781735.58</v>
      </c>
      <c r="D63" s="296">
        <f t="shared" si="9"/>
        <v>1656152</v>
      </c>
      <c r="E63" s="297">
        <f t="shared" si="9"/>
        <v>2183037</v>
      </c>
      <c r="F63" s="297">
        <f t="shared" si="9"/>
        <v>2240479.4299999997</v>
      </c>
      <c r="G63" s="337">
        <f t="shared" si="9"/>
        <v>2221081</v>
      </c>
      <c r="H63" s="110"/>
      <c r="I63" s="110"/>
    </row>
    <row r="64" spans="1:9">
      <c r="A64" s="123" t="s">
        <v>92</v>
      </c>
      <c r="B64" s="92"/>
      <c r="C64" s="93"/>
      <c r="D64" s="120"/>
      <c r="E64" s="121"/>
      <c r="F64" s="122"/>
      <c r="G64" s="327"/>
      <c r="H64" s="94"/>
      <c r="I64" s="77"/>
    </row>
    <row r="65" spans="1:9">
      <c r="A65" s="137" t="s">
        <v>281</v>
      </c>
      <c r="B65" s="125">
        <v>1739</v>
      </c>
      <c r="C65" s="126">
        <v>1394.02</v>
      </c>
      <c r="D65" s="127">
        <v>1006</v>
      </c>
      <c r="E65" s="128">
        <v>1165</v>
      </c>
      <c r="F65" s="128">
        <v>1112.52</v>
      </c>
      <c r="G65" s="334">
        <v>1416</v>
      </c>
      <c r="H65" s="129" t="s">
        <v>81</v>
      </c>
      <c r="I65" s="130"/>
    </row>
    <row r="66" spans="1:9">
      <c r="A66" s="137" t="s">
        <v>335</v>
      </c>
      <c r="B66" s="125">
        <v>4092</v>
      </c>
      <c r="C66" s="126">
        <v>6778.09</v>
      </c>
      <c r="D66" s="127">
        <v>5760</v>
      </c>
      <c r="E66" s="128">
        <v>6491</v>
      </c>
      <c r="F66" s="128">
        <v>7986.84</v>
      </c>
      <c r="G66" s="334">
        <v>7424</v>
      </c>
      <c r="H66" s="129" t="s">
        <v>85</v>
      </c>
      <c r="I66" s="130"/>
    </row>
    <row r="67" spans="1:9" s="101" customFormat="1">
      <c r="A67" s="137" t="s">
        <v>337</v>
      </c>
      <c r="B67" s="125">
        <v>0</v>
      </c>
      <c r="C67" s="126">
        <v>0</v>
      </c>
      <c r="D67" s="127">
        <v>454</v>
      </c>
      <c r="E67" s="128">
        <v>0</v>
      </c>
      <c r="F67" s="128">
        <v>780.83999999999992</v>
      </c>
      <c r="G67" s="334">
        <v>526</v>
      </c>
      <c r="H67" s="129" t="s">
        <v>332</v>
      </c>
      <c r="I67" s="130"/>
    </row>
    <row r="68" spans="1:9">
      <c r="A68" s="137" t="s">
        <v>282</v>
      </c>
      <c r="B68" s="125">
        <v>183</v>
      </c>
      <c r="C68" s="126">
        <v>1048.04</v>
      </c>
      <c r="D68" s="127">
        <v>1019</v>
      </c>
      <c r="E68" s="128">
        <v>4014</v>
      </c>
      <c r="F68" s="128">
        <v>1566.36</v>
      </c>
      <c r="G68" s="334">
        <v>1285</v>
      </c>
      <c r="H68" s="129" t="s">
        <v>85</v>
      </c>
      <c r="I68" s="130"/>
    </row>
    <row r="69" spans="1:9" s="49" customFormat="1">
      <c r="A69" s="137" t="s">
        <v>355</v>
      </c>
      <c r="B69" s="125">
        <v>0</v>
      </c>
      <c r="C69" s="126">
        <v>0</v>
      </c>
      <c r="D69" s="127">
        <v>134</v>
      </c>
      <c r="E69" s="140">
        <v>0</v>
      </c>
      <c r="F69" s="128">
        <v>360</v>
      </c>
      <c r="G69" s="334">
        <v>195</v>
      </c>
      <c r="H69" s="129">
        <v>2150</v>
      </c>
      <c r="I69" s="148" t="s">
        <v>354</v>
      </c>
    </row>
    <row r="70" spans="1:9">
      <c r="A70" s="137" t="s">
        <v>283</v>
      </c>
      <c r="B70" s="125">
        <v>0</v>
      </c>
      <c r="C70" s="126">
        <v>1278.48</v>
      </c>
      <c r="D70" s="127">
        <v>85</v>
      </c>
      <c r="E70" s="128">
        <v>0</v>
      </c>
      <c r="F70" s="128">
        <v>0</v>
      </c>
      <c r="G70" s="334">
        <v>138</v>
      </c>
      <c r="H70" s="129" t="s">
        <v>85</v>
      </c>
      <c r="I70" s="130"/>
    </row>
    <row r="71" spans="1:9">
      <c r="A71" s="137" t="s">
        <v>401</v>
      </c>
      <c r="B71" s="125">
        <v>0</v>
      </c>
      <c r="C71" s="126">
        <v>0</v>
      </c>
      <c r="D71" s="127">
        <v>172</v>
      </c>
      <c r="E71" s="140">
        <v>0</v>
      </c>
      <c r="F71" s="128">
        <v>0</v>
      </c>
      <c r="G71" s="334">
        <v>331</v>
      </c>
      <c r="H71" s="74">
        <v>1700</v>
      </c>
      <c r="I71" s="130"/>
    </row>
    <row r="72" spans="1:9">
      <c r="A72" s="137" t="s">
        <v>284</v>
      </c>
      <c r="B72" s="125">
        <v>75</v>
      </c>
      <c r="C72" s="126">
        <v>773.51</v>
      </c>
      <c r="D72" s="127">
        <v>403</v>
      </c>
      <c r="E72" s="128">
        <v>485</v>
      </c>
      <c r="F72" s="128">
        <v>538.68000000000006</v>
      </c>
      <c r="G72" s="334">
        <v>524</v>
      </c>
      <c r="H72" s="129" t="s">
        <v>81</v>
      </c>
      <c r="I72" s="130"/>
    </row>
    <row r="73" spans="1:9">
      <c r="A73" s="149" t="s">
        <v>285</v>
      </c>
      <c r="B73" s="150">
        <v>29</v>
      </c>
      <c r="C73" s="151">
        <v>310.81</v>
      </c>
      <c r="D73" s="152">
        <v>165</v>
      </c>
      <c r="E73" s="153">
        <v>205</v>
      </c>
      <c r="F73" s="153">
        <v>220.67999999999998</v>
      </c>
      <c r="G73" s="338">
        <v>214</v>
      </c>
      <c r="H73" s="154" t="s">
        <v>82</v>
      </c>
      <c r="I73" s="155">
        <f>SUBTOTAL(109,F65:F73)</f>
        <v>12565.920000000002</v>
      </c>
    </row>
    <row r="74" spans="1:9">
      <c r="A74" s="137" t="s">
        <v>280</v>
      </c>
      <c r="B74" s="125">
        <v>7967</v>
      </c>
      <c r="C74" s="126">
        <v>4184.84</v>
      </c>
      <c r="D74" s="127">
        <v>7179</v>
      </c>
      <c r="E74" s="128">
        <v>4711</v>
      </c>
      <c r="F74" s="128">
        <v>4426.13</v>
      </c>
      <c r="G74" s="334">
        <v>8588</v>
      </c>
      <c r="H74" s="129" t="s">
        <v>81</v>
      </c>
      <c r="I74" s="298">
        <v>1.4500000000000001E-2</v>
      </c>
    </row>
    <row r="75" spans="1:9">
      <c r="A75" s="137" t="s">
        <v>279</v>
      </c>
      <c r="B75" s="125">
        <v>16718</v>
      </c>
      <c r="C75" s="126">
        <v>15265.97</v>
      </c>
      <c r="D75" s="127">
        <v>13022</v>
      </c>
      <c r="E75" s="128">
        <v>19692</v>
      </c>
      <c r="F75" s="128">
        <v>18920.059999999998</v>
      </c>
      <c r="G75" s="334">
        <v>18026</v>
      </c>
      <c r="H75" s="129" t="s">
        <v>85</v>
      </c>
      <c r="I75" s="130"/>
    </row>
    <row r="76" spans="1:9" s="158" customFormat="1">
      <c r="A76" s="137" t="s">
        <v>336</v>
      </c>
      <c r="B76" s="125">
        <v>0</v>
      </c>
      <c r="C76" s="126">
        <v>0</v>
      </c>
      <c r="D76" s="127">
        <v>942</v>
      </c>
      <c r="E76" s="128">
        <v>0</v>
      </c>
      <c r="F76" s="128">
        <v>2074.81</v>
      </c>
      <c r="G76" s="334">
        <v>1051</v>
      </c>
      <c r="H76" s="129">
        <v>1700</v>
      </c>
      <c r="I76" s="157"/>
    </row>
    <row r="77" spans="1:9">
      <c r="A77" s="159" t="s">
        <v>278</v>
      </c>
      <c r="B77" s="160">
        <v>3975</v>
      </c>
      <c r="C77" s="161">
        <v>3191.37</v>
      </c>
      <c r="D77" s="127">
        <v>2623</v>
      </c>
      <c r="E77" s="128">
        <v>8702</v>
      </c>
      <c r="F77" s="128">
        <v>3813.71</v>
      </c>
      <c r="G77" s="334">
        <v>3677</v>
      </c>
      <c r="H77" s="129" t="s">
        <v>85</v>
      </c>
      <c r="I77" s="130"/>
    </row>
    <row r="78" spans="1:9">
      <c r="A78" s="159" t="s">
        <v>402</v>
      </c>
      <c r="B78" s="160">
        <v>0</v>
      </c>
      <c r="C78" s="161">
        <v>0</v>
      </c>
      <c r="D78" s="127">
        <v>21</v>
      </c>
      <c r="E78" s="140">
        <v>0</v>
      </c>
      <c r="F78" s="128">
        <v>0</v>
      </c>
      <c r="G78" s="334">
        <v>62</v>
      </c>
      <c r="H78" s="74">
        <v>2140</v>
      </c>
      <c r="I78" s="130"/>
    </row>
    <row r="79" spans="1:9">
      <c r="A79" s="159" t="s">
        <v>357</v>
      </c>
      <c r="B79" s="160">
        <v>0</v>
      </c>
      <c r="C79" s="161">
        <v>0</v>
      </c>
      <c r="D79" s="127">
        <v>384</v>
      </c>
      <c r="E79" s="128">
        <v>0</v>
      </c>
      <c r="F79" s="128">
        <v>7600.5599999999995</v>
      </c>
      <c r="G79" s="334">
        <v>534</v>
      </c>
      <c r="H79" s="129">
        <v>2150</v>
      </c>
      <c r="I79" s="148" t="s">
        <v>354</v>
      </c>
    </row>
    <row r="80" spans="1:9">
      <c r="A80" s="159" t="s">
        <v>265</v>
      </c>
      <c r="B80" s="160">
        <v>137</v>
      </c>
      <c r="C80" s="161">
        <v>153.19</v>
      </c>
      <c r="D80" s="127">
        <v>284</v>
      </c>
      <c r="E80" s="128">
        <v>131</v>
      </c>
      <c r="F80" s="128">
        <v>130.5</v>
      </c>
      <c r="G80" s="334">
        <v>458</v>
      </c>
      <c r="H80" s="129" t="s">
        <v>109</v>
      </c>
      <c r="I80" s="130"/>
    </row>
    <row r="81" spans="1:9">
      <c r="A81" s="137" t="s">
        <v>277</v>
      </c>
      <c r="B81" s="125">
        <v>305</v>
      </c>
      <c r="C81" s="126">
        <v>485.6</v>
      </c>
      <c r="D81" s="127">
        <v>295</v>
      </c>
      <c r="E81" s="128">
        <v>347</v>
      </c>
      <c r="F81" s="128">
        <v>362.5</v>
      </c>
      <c r="G81" s="334">
        <v>412</v>
      </c>
      <c r="H81" s="129" t="s">
        <v>85</v>
      </c>
      <c r="I81" s="130"/>
    </row>
    <row r="82" spans="1:9">
      <c r="A82" s="137" t="s">
        <v>266</v>
      </c>
      <c r="B82" s="125">
        <v>345</v>
      </c>
      <c r="C82" s="126">
        <v>2269.08</v>
      </c>
      <c r="D82" s="127">
        <v>635</v>
      </c>
      <c r="E82" s="128">
        <v>756</v>
      </c>
      <c r="F82" s="128">
        <v>256.64999999999998</v>
      </c>
      <c r="G82" s="334">
        <v>1012</v>
      </c>
      <c r="H82" s="129" t="s">
        <v>85</v>
      </c>
      <c r="I82" s="130"/>
    </row>
    <row r="83" spans="1:9">
      <c r="A83" s="137" t="s">
        <v>403</v>
      </c>
      <c r="B83" s="125">
        <v>0</v>
      </c>
      <c r="C83" s="126">
        <v>0</v>
      </c>
      <c r="D83" s="127">
        <v>516</v>
      </c>
      <c r="E83" s="140">
        <v>0</v>
      </c>
      <c r="F83" s="128">
        <v>0</v>
      </c>
      <c r="G83" s="334">
        <v>984</v>
      </c>
      <c r="H83" s="74">
        <v>1700</v>
      </c>
      <c r="I83" s="130"/>
    </row>
    <row r="84" spans="1:9">
      <c r="A84" s="137" t="s">
        <v>267</v>
      </c>
      <c r="B84" s="125">
        <v>1179</v>
      </c>
      <c r="C84" s="126">
        <v>1138.8599999999999</v>
      </c>
      <c r="D84" s="127">
        <v>709</v>
      </c>
      <c r="E84" s="128">
        <v>1202</v>
      </c>
      <c r="F84" s="128">
        <v>1116.5</v>
      </c>
      <c r="G84" s="334">
        <v>772</v>
      </c>
      <c r="H84" s="129" t="s">
        <v>81</v>
      </c>
      <c r="I84" s="130"/>
    </row>
    <row r="85" spans="1:9">
      <c r="A85" s="149" t="s">
        <v>268</v>
      </c>
      <c r="B85" s="150">
        <v>702</v>
      </c>
      <c r="C85" s="151">
        <v>434.51</v>
      </c>
      <c r="D85" s="152">
        <v>312</v>
      </c>
      <c r="E85" s="153">
        <v>479</v>
      </c>
      <c r="F85" s="153">
        <v>424.85</v>
      </c>
      <c r="G85" s="338">
        <v>464</v>
      </c>
      <c r="H85" s="154" t="s">
        <v>82</v>
      </c>
      <c r="I85" s="155">
        <f>SUBTOTAL(109,F74:G85)</f>
        <v>75166.27</v>
      </c>
    </row>
    <row r="86" spans="1:9" s="131" customFormat="1">
      <c r="A86" s="162" t="s">
        <v>269</v>
      </c>
      <c r="B86" s="125">
        <v>51619</v>
      </c>
      <c r="C86" s="126">
        <v>57632.36</v>
      </c>
      <c r="D86" s="127">
        <v>34872</v>
      </c>
      <c r="E86" s="128">
        <v>61096</v>
      </c>
      <c r="F86" s="128">
        <v>65323.5</v>
      </c>
      <c r="G86" s="334">
        <v>50869</v>
      </c>
      <c r="H86" s="129" t="s">
        <v>81</v>
      </c>
      <c r="I86" s="299">
        <v>0.214</v>
      </c>
    </row>
    <row r="87" spans="1:9" s="131" customFormat="1">
      <c r="A87" s="162" t="s">
        <v>270</v>
      </c>
      <c r="B87" s="125">
        <v>211301</v>
      </c>
      <c r="C87" s="126">
        <v>217598.24</v>
      </c>
      <c r="D87" s="127">
        <v>204381</v>
      </c>
      <c r="E87" s="128">
        <v>255405</v>
      </c>
      <c r="F87" s="128">
        <v>279233.94</v>
      </c>
      <c r="G87" s="334">
        <v>272322</v>
      </c>
      <c r="H87" s="129" t="s">
        <v>85</v>
      </c>
      <c r="I87" s="130"/>
    </row>
    <row r="88" spans="1:9" s="164" customFormat="1">
      <c r="A88" s="162" t="s">
        <v>338</v>
      </c>
      <c r="B88" s="125">
        <v>0</v>
      </c>
      <c r="C88" s="126">
        <v>0</v>
      </c>
      <c r="D88" s="127">
        <v>15295</v>
      </c>
      <c r="E88" s="128">
        <v>0</v>
      </c>
      <c r="F88" s="128">
        <v>30621.260000000002</v>
      </c>
      <c r="G88" s="334">
        <v>17868</v>
      </c>
      <c r="H88" s="129">
        <v>1700</v>
      </c>
      <c r="I88" s="157"/>
    </row>
    <row r="89" spans="1:9" s="131" customFormat="1">
      <c r="A89" s="162" t="s">
        <v>271</v>
      </c>
      <c r="B89" s="125">
        <v>49940</v>
      </c>
      <c r="C89" s="126">
        <v>39460.019999999997</v>
      </c>
      <c r="D89" s="127">
        <v>34759</v>
      </c>
      <c r="E89" s="128">
        <v>112867</v>
      </c>
      <c r="F89" s="128">
        <v>56284.99</v>
      </c>
      <c r="G89" s="334">
        <v>45429</v>
      </c>
      <c r="H89" s="129" t="s">
        <v>85</v>
      </c>
      <c r="I89" s="130"/>
    </row>
    <row r="90" spans="1:9" s="131" customFormat="1">
      <c r="A90" s="162" t="s">
        <v>358</v>
      </c>
      <c r="B90" s="125">
        <v>0</v>
      </c>
      <c r="C90" s="126">
        <v>0</v>
      </c>
      <c r="D90" s="127">
        <v>5813</v>
      </c>
      <c r="E90" s="128">
        <v>0</v>
      </c>
      <c r="F90" s="128">
        <v>14186.92</v>
      </c>
      <c r="G90" s="334">
        <v>8139</v>
      </c>
      <c r="H90" s="129">
        <v>2150</v>
      </c>
      <c r="I90" s="148" t="s">
        <v>354</v>
      </c>
    </row>
    <row r="91" spans="1:9" s="131" customFormat="1">
      <c r="A91" s="162" t="s">
        <v>272</v>
      </c>
      <c r="B91" s="125">
        <v>2696</v>
      </c>
      <c r="C91" s="126">
        <v>2716.4</v>
      </c>
      <c r="D91" s="127">
        <v>1711</v>
      </c>
      <c r="E91" s="128">
        <v>1701</v>
      </c>
      <c r="F91" s="128">
        <v>1926</v>
      </c>
      <c r="G91" s="334">
        <v>2249</v>
      </c>
      <c r="H91" s="129">
        <v>3100</v>
      </c>
      <c r="I91" s="130"/>
    </row>
    <row r="92" spans="1:9" s="131" customFormat="1">
      <c r="A92" s="162" t="s">
        <v>273</v>
      </c>
      <c r="B92" s="125">
        <v>3160</v>
      </c>
      <c r="C92" s="126">
        <v>4624.04</v>
      </c>
      <c r="D92" s="127">
        <v>4923</v>
      </c>
      <c r="E92" s="128">
        <v>4494</v>
      </c>
      <c r="F92" s="128">
        <v>5350</v>
      </c>
      <c r="G92" s="334">
        <v>6431</v>
      </c>
      <c r="H92" s="129">
        <v>2100</v>
      </c>
      <c r="I92" s="130"/>
    </row>
    <row r="93" spans="1:9" s="131" customFormat="1">
      <c r="A93" s="162" t="s">
        <v>274</v>
      </c>
      <c r="B93" s="125">
        <v>3994</v>
      </c>
      <c r="C93" s="126">
        <v>35738.68</v>
      </c>
      <c r="D93" s="127">
        <v>10534</v>
      </c>
      <c r="E93" s="128">
        <v>9806</v>
      </c>
      <c r="F93" s="128">
        <v>3787.8</v>
      </c>
      <c r="G93" s="334">
        <v>17618</v>
      </c>
      <c r="H93" s="129" t="s">
        <v>85</v>
      </c>
      <c r="I93" s="130"/>
    </row>
    <row r="94" spans="1:9" s="131" customFormat="1">
      <c r="A94" s="162" t="s">
        <v>404</v>
      </c>
      <c r="B94" s="125">
        <v>0</v>
      </c>
      <c r="C94" s="126">
        <v>0</v>
      </c>
      <c r="D94" s="127">
        <v>7076</v>
      </c>
      <c r="E94" s="140">
        <v>0</v>
      </c>
      <c r="F94" s="128">
        <v>0</v>
      </c>
      <c r="G94" s="334">
        <v>12383</v>
      </c>
      <c r="H94" s="74">
        <v>1700</v>
      </c>
      <c r="I94" s="130"/>
    </row>
    <row r="95" spans="1:9" s="131" customFormat="1">
      <c r="A95" s="162" t="s">
        <v>275</v>
      </c>
      <c r="B95" s="125">
        <v>14225</v>
      </c>
      <c r="C95" s="126">
        <v>15064.8</v>
      </c>
      <c r="D95" s="127">
        <v>12328</v>
      </c>
      <c r="E95" s="128">
        <v>15594</v>
      </c>
      <c r="F95" s="128">
        <v>16478</v>
      </c>
      <c r="G95" s="334">
        <v>16442</v>
      </c>
      <c r="H95" s="129" t="s">
        <v>81</v>
      </c>
      <c r="I95" s="130"/>
    </row>
    <row r="96" spans="1:9" s="131" customFormat="1">
      <c r="A96" s="165" t="s">
        <v>276</v>
      </c>
      <c r="B96" s="150">
        <v>9219</v>
      </c>
      <c r="C96" s="151">
        <v>5931.28</v>
      </c>
      <c r="D96" s="152">
        <v>4693</v>
      </c>
      <c r="E96" s="153">
        <v>6207</v>
      </c>
      <c r="F96" s="153">
        <v>6270.2</v>
      </c>
      <c r="G96" s="338">
        <v>6259</v>
      </c>
      <c r="H96" s="154" t="s">
        <v>82</v>
      </c>
      <c r="I96" s="155">
        <f>SUM(F86:F96)</f>
        <v>479462.61</v>
      </c>
    </row>
    <row r="97" spans="1:9">
      <c r="A97" s="166" t="s">
        <v>360</v>
      </c>
      <c r="B97" s="78">
        <v>17317</v>
      </c>
      <c r="C97" s="79">
        <v>20492.64</v>
      </c>
      <c r="D97" s="127">
        <v>16000</v>
      </c>
      <c r="E97" s="122">
        <v>19653</v>
      </c>
      <c r="F97" s="122">
        <v>21280.799999999999</v>
      </c>
      <c r="G97" s="327">
        <v>21316</v>
      </c>
      <c r="H97" s="74" t="s">
        <v>81</v>
      </c>
      <c r="I97" s="77"/>
    </row>
    <row r="98" spans="1:9">
      <c r="A98" s="166" t="s">
        <v>361</v>
      </c>
      <c r="B98" s="78">
        <v>117900</v>
      </c>
      <c r="C98" s="79">
        <v>120319.52</v>
      </c>
      <c r="D98" s="127">
        <v>106727</v>
      </c>
      <c r="E98" s="122">
        <v>126725</v>
      </c>
      <c r="F98" s="122">
        <v>149171.75999999998</v>
      </c>
      <c r="G98" s="327">
        <v>140193</v>
      </c>
      <c r="H98" s="74" t="s">
        <v>85</v>
      </c>
      <c r="I98" s="77"/>
    </row>
    <row r="99" spans="1:9" s="158" customFormat="1">
      <c r="A99" s="166" t="s">
        <v>359</v>
      </c>
      <c r="B99" s="78">
        <v>0</v>
      </c>
      <c r="C99" s="79">
        <v>0</v>
      </c>
      <c r="D99" s="127">
        <v>7843</v>
      </c>
      <c r="E99" s="122">
        <v>0</v>
      </c>
      <c r="F99" s="122">
        <v>7084.5599999999995</v>
      </c>
      <c r="G99" s="327">
        <v>9614</v>
      </c>
      <c r="H99" s="74">
        <v>1700</v>
      </c>
      <c r="I99" s="167"/>
    </row>
    <row r="100" spans="1:9">
      <c r="A100" s="166" t="s">
        <v>364</v>
      </c>
      <c r="B100" s="78">
        <v>23849</v>
      </c>
      <c r="C100" s="79">
        <v>26234.71</v>
      </c>
      <c r="D100" s="127">
        <v>16290</v>
      </c>
      <c r="E100" s="122">
        <v>79437</v>
      </c>
      <c r="F100" s="122">
        <v>29308.32</v>
      </c>
      <c r="G100" s="327">
        <v>21715</v>
      </c>
      <c r="H100" s="74" t="s">
        <v>85</v>
      </c>
      <c r="I100" s="77"/>
    </row>
    <row r="101" spans="1:9">
      <c r="A101" s="166" t="s">
        <v>365</v>
      </c>
      <c r="B101" s="78">
        <v>0</v>
      </c>
      <c r="C101" s="79">
        <v>0</v>
      </c>
      <c r="D101" s="127">
        <v>1921</v>
      </c>
      <c r="E101" s="122">
        <v>0</v>
      </c>
      <c r="F101" s="122">
        <v>7600.5599999999995</v>
      </c>
      <c r="G101" s="327">
        <v>3186</v>
      </c>
      <c r="H101" s="74">
        <v>2150</v>
      </c>
      <c r="I101" s="168" t="s">
        <v>354</v>
      </c>
    </row>
    <row r="102" spans="1:9">
      <c r="A102" s="166" t="s">
        <v>405</v>
      </c>
      <c r="B102" s="78">
        <v>0</v>
      </c>
      <c r="C102" s="79">
        <v>0</v>
      </c>
      <c r="D102" s="127">
        <v>1896</v>
      </c>
      <c r="E102" s="121"/>
      <c r="F102" s="122"/>
      <c r="G102" s="327">
        <v>3791</v>
      </c>
      <c r="H102" s="74">
        <v>1700</v>
      </c>
      <c r="I102" s="77"/>
    </row>
    <row r="103" spans="1:9">
      <c r="A103" s="166" t="s">
        <v>362</v>
      </c>
      <c r="B103" s="78">
        <v>2091</v>
      </c>
      <c r="C103" s="79">
        <v>7509.41</v>
      </c>
      <c r="D103" s="127">
        <v>5711</v>
      </c>
      <c r="E103" s="122">
        <v>6384</v>
      </c>
      <c r="F103" s="122">
        <v>8140.5599999999995</v>
      </c>
      <c r="G103" s="327">
        <v>7609</v>
      </c>
      <c r="H103" s="74" t="s">
        <v>81</v>
      </c>
      <c r="I103" s="77"/>
    </row>
    <row r="104" spans="1:9">
      <c r="A104" s="166" t="s">
        <v>363</v>
      </c>
      <c r="B104" s="78">
        <v>0</v>
      </c>
      <c r="C104" s="79">
        <v>0</v>
      </c>
      <c r="D104" s="127">
        <v>37</v>
      </c>
      <c r="E104" s="122">
        <v>0</v>
      </c>
      <c r="F104" s="122">
        <v>65.039999999999992</v>
      </c>
      <c r="G104" s="327">
        <v>54</v>
      </c>
      <c r="H104" s="74" t="s">
        <v>82</v>
      </c>
      <c r="I104" s="77">
        <f>SUM(F97:F104)</f>
        <v>222651.59999999998</v>
      </c>
    </row>
    <row r="105" spans="1:9" ht="16" thickBot="1">
      <c r="A105" s="166" t="s">
        <v>100</v>
      </c>
      <c r="B105" s="78">
        <v>37364</v>
      </c>
      <c r="C105" s="79">
        <v>100754</v>
      </c>
      <c r="D105" s="127">
        <v>0</v>
      </c>
      <c r="E105" s="122">
        <f>E24</f>
        <v>35000</v>
      </c>
      <c r="F105" s="122">
        <v>100000</v>
      </c>
      <c r="G105" s="327">
        <v>100000</v>
      </c>
      <c r="H105" s="74" t="s">
        <v>81</v>
      </c>
      <c r="I105" s="77" t="s">
        <v>341</v>
      </c>
    </row>
    <row r="106" spans="1:9">
      <c r="A106" s="169" t="s">
        <v>287</v>
      </c>
      <c r="B106" s="170">
        <v>28572</v>
      </c>
      <c r="C106" s="171">
        <f>28300+2100</f>
        <v>30400</v>
      </c>
      <c r="D106" s="172">
        <v>15500</v>
      </c>
      <c r="E106" s="173">
        <v>0</v>
      </c>
      <c r="F106" s="171">
        <v>15000</v>
      </c>
      <c r="G106" s="339">
        <v>32500</v>
      </c>
      <c r="H106" s="174" t="s">
        <v>81</v>
      </c>
      <c r="I106" s="175" t="s">
        <v>419</v>
      </c>
    </row>
    <row r="107" spans="1:9">
      <c r="A107" s="176" t="s">
        <v>342</v>
      </c>
      <c r="B107" s="78">
        <v>161717</v>
      </c>
      <c r="C107" s="79">
        <v>182250</v>
      </c>
      <c r="D107" s="127">
        <v>113500</v>
      </c>
      <c r="E107" s="121">
        <v>0</v>
      </c>
      <c r="F107" s="122">
        <v>117500</v>
      </c>
      <c r="G107" s="327">
        <v>229166</v>
      </c>
      <c r="H107" s="74" t="s">
        <v>85</v>
      </c>
      <c r="I107" s="177" t="s">
        <v>414</v>
      </c>
    </row>
    <row r="108" spans="1:9" s="104" customFormat="1">
      <c r="A108" s="176" t="s">
        <v>339</v>
      </c>
      <c r="B108" s="78">
        <v>0</v>
      </c>
      <c r="C108" s="79">
        <v>0</v>
      </c>
      <c r="D108" s="127">
        <v>16000</v>
      </c>
      <c r="E108" s="121">
        <v>0</v>
      </c>
      <c r="F108" s="122">
        <v>22500</v>
      </c>
      <c r="G108" s="327">
        <f>38000</f>
        <v>38000</v>
      </c>
      <c r="H108" s="74">
        <v>1700</v>
      </c>
      <c r="I108" s="177" t="s">
        <v>413</v>
      </c>
    </row>
    <row r="109" spans="1:9">
      <c r="A109" s="176" t="s">
        <v>286</v>
      </c>
      <c r="B109" s="78">
        <v>34270</v>
      </c>
      <c r="C109" s="79">
        <v>30100</v>
      </c>
      <c r="D109" s="127">
        <v>15000</v>
      </c>
      <c r="E109" s="121">
        <v>0</v>
      </c>
      <c r="F109" s="122">
        <v>28000</v>
      </c>
      <c r="G109" s="327">
        <f>Table14[[#This Row],[FY24 Actuals through 3/31/24]]*2</f>
        <v>30000</v>
      </c>
      <c r="H109" s="74" t="s">
        <v>85</v>
      </c>
      <c r="I109" s="177" t="s">
        <v>413</v>
      </c>
    </row>
    <row r="110" spans="1:9">
      <c r="A110" s="178" t="s">
        <v>366</v>
      </c>
      <c r="B110" s="78">
        <v>0</v>
      </c>
      <c r="C110" s="79">
        <v>0</v>
      </c>
      <c r="D110" s="127">
        <v>2500</v>
      </c>
      <c r="E110" s="121">
        <v>0</v>
      </c>
      <c r="F110" s="122">
        <v>5000</v>
      </c>
      <c r="G110" s="327">
        <f>Table14[[#This Row],[FY24 Actuals through 3/31/24]]*2</f>
        <v>5000</v>
      </c>
      <c r="H110" s="74" t="s">
        <v>356</v>
      </c>
      <c r="I110" s="179" t="s">
        <v>415</v>
      </c>
    </row>
    <row r="111" spans="1:9">
      <c r="A111" s="176" t="s">
        <v>320</v>
      </c>
      <c r="B111" s="78">
        <v>500</v>
      </c>
      <c r="C111" s="79">
        <v>500</v>
      </c>
      <c r="D111" s="127">
        <v>4300</v>
      </c>
      <c r="E111" s="121">
        <v>0</v>
      </c>
      <c r="F111" s="122">
        <v>1000</v>
      </c>
      <c r="G111" s="327">
        <v>11400</v>
      </c>
      <c r="H111" s="74" t="s">
        <v>85</v>
      </c>
      <c r="I111" s="179" t="s">
        <v>416</v>
      </c>
    </row>
    <row r="112" spans="1:9">
      <c r="A112" s="176" t="s">
        <v>288</v>
      </c>
      <c r="B112" s="78">
        <v>2500</v>
      </c>
      <c r="C112" s="79">
        <v>8000</v>
      </c>
      <c r="D112" s="127">
        <v>3000</v>
      </c>
      <c r="E112" s="121">
        <v>0</v>
      </c>
      <c r="F112" s="122">
        <v>2500</v>
      </c>
      <c r="G112" s="327">
        <v>6500</v>
      </c>
      <c r="H112" s="74" t="s">
        <v>85</v>
      </c>
      <c r="I112" s="177" t="s">
        <v>416</v>
      </c>
    </row>
    <row r="113" spans="1:9">
      <c r="A113" s="176" t="s">
        <v>340</v>
      </c>
      <c r="B113" s="78">
        <v>8347</v>
      </c>
      <c r="C113" s="79">
        <v>8350</v>
      </c>
      <c r="D113" s="127">
        <v>18000</v>
      </c>
      <c r="E113" s="121">
        <v>0</v>
      </c>
      <c r="F113" s="122">
        <v>6500</v>
      </c>
      <c r="G113" s="327">
        <v>38500</v>
      </c>
      <c r="H113" s="74" t="s">
        <v>85</v>
      </c>
      <c r="I113" s="177" t="s">
        <v>413</v>
      </c>
    </row>
    <row r="114" spans="1:9">
      <c r="A114" s="176" t="s">
        <v>289</v>
      </c>
      <c r="B114" s="78">
        <v>14126</v>
      </c>
      <c r="C114" s="79">
        <v>15800</v>
      </c>
      <c r="D114" s="127">
        <v>10000</v>
      </c>
      <c r="E114" s="121">
        <v>0</v>
      </c>
      <c r="F114" s="122">
        <v>10000</v>
      </c>
      <c r="G114" s="327">
        <f>Table14[[#This Row],[FY24 Actuals through 3/31/24]]*2</f>
        <v>20000</v>
      </c>
      <c r="H114" s="74" t="s">
        <v>81</v>
      </c>
      <c r="I114" s="177" t="s">
        <v>413</v>
      </c>
    </row>
    <row r="115" spans="1:9" ht="16" thickBot="1">
      <c r="A115" s="180" t="s">
        <v>290</v>
      </c>
      <c r="B115" s="181">
        <v>4343</v>
      </c>
      <c r="C115" s="182">
        <v>3750</v>
      </c>
      <c r="D115" s="144">
        <v>2500</v>
      </c>
      <c r="E115" s="183">
        <v>0</v>
      </c>
      <c r="F115" s="184">
        <v>3000</v>
      </c>
      <c r="G115" s="329">
        <v>4000</v>
      </c>
      <c r="H115" s="85" t="s">
        <v>82</v>
      </c>
      <c r="I115" s="185" t="s">
        <v>417</v>
      </c>
    </row>
    <row r="116" spans="1:9" s="49" customFormat="1" ht="16">
      <c r="A116" s="186" t="s">
        <v>29</v>
      </c>
      <c r="B116" s="187">
        <f t="shared" ref="B116:G116" si="10">SUM(B65:B115)</f>
        <v>836496</v>
      </c>
      <c r="C116" s="188">
        <f t="shared" si="10"/>
        <v>971932.47</v>
      </c>
      <c r="D116" s="187">
        <f t="shared" si="10"/>
        <v>729230</v>
      </c>
      <c r="E116" s="188">
        <f t="shared" si="10"/>
        <v>782749</v>
      </c>
      <c r="F116" s="188">
        <f t="shared" si="10"/>
        <v>1064806.4000000001</v>
      </c>
      <c r="G116" s="340">
        <f t="shared" si="10"/>
        <v>1226646</v>
      </c>
      <c r="H116" s="300"/>
      <c r="I116" s="300"/>
    </row>
    <row r="117" spans="1:9">
      <c r="A117" s="64" t="s">
        <v>30</v>
      </c>
      <c r="B117" s="70">
        <f>7668</f>
        <v>7668</v>
      </c>
      <c r="C117" s="71">
        <v>750</v>
      </c>
      <c r="D117" s="72">
        <v>10818</v>
      </c>
      <c r="E117" s="73">
        <v>0</v>
      </c>
      <c r="F117" s="73">
        <v>1000</v>
      </c>
      <c r="G117" s="327">
        <v>12018</v>
      </c>
      <c r="H117" s="74" t="s">
        <v>81</v>
      </c>
      <c r="I117" s="77" t="s">
        <v>418</v>
      </c>
    </row>
    <row r="118" spans="1:9">
      <c r="A118" s="64" t="s">
        <v>31</v>
      </c>
      <c r="B118" s="70">
        <f>642+44+3655-2</f>
        <v>4339</v>
      </c>
      <c r="C118" s="71">
        <f>2527.32+60.01+1137.62</f>
        <v>3724.9500000000003</v>
      </c>
      <c r="D118" s="72">
        <v>2297</v>
      </c>
      <c r="E118" s="73">
        <v>1300</v>
      </c>
      <c r="F118" s="73">
        <v>4000</v>
      </c>
      <c r="G118" s="324">
        <v>3347</v>
      </c>
      <c r="H118" s="74" t="s">
        <v>86</v>
      </c>
      <c r="I118" s="190"/>
    </row>
    <row r="119" spans="1:9">
      <c r="A119" s="64" t="s">
        <v>99</v>
      </c>
      <c r="B119" s="70">
        <f>7050</f>
        <v>7050</v>
      </c>
      <c r="C119" s="71">
        <v>3500</v>
      </c>
      <c r="D119" s="72">
        <v>3300</v>
      </c>
      <c r="E119" s="73">
        <v>0</v>
      </c>
      <c r="F119" s="73">
        <v>3500</v>
      </c>
      <c r="G119" s="324">
        <v>3300</v>
      </c>
      <c r="H119" s="74" t="s">
        <v>103</v>
      </c>
      <c r="I119" s="77"/>
    </row>
    <row r="120" spans="1:9">
      <c r="A120" s="191" t="s">
        <v>32</v>
      </c>
      <c r="B120" s="192">
        <f>88544</f>
        <v>88544</v>
      </c>
      <c r="C120" s="193">
        <v>29598.99</v>
      </c>
      <c r="D120" s="194">
        <v>31022</v>
      </c>
      <c r="E120" s="195">
        <v>74560</v>
      </c>
      <c r="F120" s="195">
        <v>58250</v>
      </c>
      <c r="G120" s="341">
        <v>46022</v>
      </c>
      <c r="H120" s="301" t="s">
        <v>85</v>
      </c>
      <c r="I120" s="302" t="s">
        <v>291</v>
      </c>
    </row>
    <row r="121" spans="1:9">
      <c r="A121" s="64" t="s">
        <v>33</v>
      </c>
      <c r="B121" s="70">
        <f>4010</f>
        <v>4010</v>
      </c>
      <c r="C121" s="71">
        <v>3939</v>
      </c>
      <c r="D121" s="72">
        <v>2510</v>
      </c>
      <c r="E121" s="73">
        <v>7000</v>
      </c>
      <c r="F121" s="73">
        <v>7000</v>
      </c>
      <c r="G121" s="324">
        <v>4010</v>
      </c>
      <c r="H121" s="74" t="s">
        <v>104</v>
      </c>
      <c r="I121" s="77"/>
    </row>
    <row r="122" spans="1:9">
      <c r="A122" s="64" t="s">
        <v>34</v>
      </c>
      <c r="B122" s="70">
        <f>1300</f>
        <v>1300</v>
      </c>
      <c r="C122" s="71">
        <v>9400</v>
      </c>
      <c r="D122" s="72">
        <v>17550</v>
      </c>
      <c r="E122" s="73">
        <v>9000</v>
      </c>
      <c r="F122" s="73">
        <v>9500</v>
      </c>
      <c r="G122" s="324">
        <v>17550</v>
      </c>
      <c r="H122" s="74" t="s">
        <v>105</v>
      </c>
      <c r="I122" s="77"/>
    </row>
    <row r="123" spans="1:9">
      <c r="A123" s="196" t="s">
        <v>368</v>
      </c>
      <c r="B123" s="197">
        <v>0</v>
      </c>
      <c r="C123" s="198">
        <v>0</v>
      </c>
      <c r="D123" s="199">
        <v>16491</v>
      </c>
      <c r="E123" s="200">
        <v>0</v>
      </c>
      <c r="F123" s="200">
        <v>18000</v>
      </c>
      <c r="G123" s="342">
        <v>20891</v>
      </c>
      <c r="H123" s="303" t="s">
        <v>83</v>
      </c>
      <c r="I123" s="304" t="s">
        <v>389</v>
      </c>
    </row>
    <row r="124" spans="1:9">
      <c r="A124" s="196" t="s">
        <v>369</v>
      </c>
      <c r="B124" s="197">
        <v>0</v>
      </c>
      <c r="C124" s="198">
        <v>0</v>
      </c>
      <c r="D124" s="199">
        <v>21871</v>
      </c>
      <c r="E124" s="200">
        <v>0</v>
      </c>
      <c r="F124" s="200">
        <v>38640</v>
      </c>
      <c r="G124" s="342">
        <v>21871</v>
      </c>
      <c r="H124" s="303" t="s">
        <v>83</v>
      </c>
      <c r="I124" s="304" t="s">
        <v>390</v>
      </c>
    </row>
    <row r="125" spans="1:9">
      <c r="A125" s="201" t="s">
        <v>391</v>
      </c>
      <c r="B125" s="197">
        <v>0</v>
      </c>
      <c r="C125" s="198">
        <v>0</v>
      </c>
      <c r="D125" s="199">
        <v>0</v>
      </c>
      <c r="E125" s="200">
        <v>0</v>
      </c>
      <c r="F125" s="200">
        <v>68000</v>
      </c>
      <c r="G125" s="342">
        <v>0</v>
      </c>
      <c r="H125" s="303">
        <v>2100</v>
      </c>
      <c r="I125" s="304"/>
    </row>
    <row r="126" spans="1:9">
      <c r="A126" s="64" t="s">
        <v>35</v>
      </c>
      <c r="B126" s="70">
        <f>1375</f>
        <v>1375</v>
      </c>
      <c r="C126" s="71">
        <v>1750</v>
      </c>
      <c r="D126" s="72">
        <v>1000</v>
      </c>
      <c r="E126" s="73">
        <v>1500</v>
      </c>
      <c r="F126" s="73">
        <v>1750</v>
      </c>
      <c r="G126" s="324">
        <v>1250</v>
      </c>
      <c r="H126" s="74" t="s">
        <v>110</v>
      </c>
      <c r="I126" s="77" t="s">
        <v>381</v>
      </c>
    </row>
    <row r="127" spans="1:9">
      <c r="A127" s="64" t="s">
        <v>36</v>
      </c>
      <c r="B127" s="70">
        <f>2477</f>
        <v>2477</v>
      </c>
      <c r="C127" s="71">
        <v>3592.13</v>
      </c>
      <c r="D127" s="72">
        <v>3318</v>
      </c>
      <c r="E127" s="73">
        <v>2000</v>
      </c>
      <c r="F127" s="73">
        <v>3500</v>
      </c>
      <c r="G127" s="324">
        <v>3318</v>
      </c>
      <c r="H127" s="74" t="s">
        <v>106</v>
      </c>
      <c r="I127" s="77"/>
    </row>
    <row r="128" spans="1:9">
      <c r="A128" s="64" t="s">
        <v>37</v>
      </c>
      <c r="B128" s="70">
        <f>1719</f>
        <v>1719</v>
      </c>
      <c r="C128" s="71">
        <v>964.75</v>
      </c>
      <c r="D128" s="72">
        <v>850</v>
      </c>
      <c r="E128" s="73">
        <v>1300</v>
      </c>
      <c r="F128" s="73">
        <v>1300</v>
      </c>
      <c r="G128" s="324">
        <v>850</v>
      </c>
      <c r="H128" s="74" t="s">
        <v>86</v>
      </c>
      <c r="I128" s="77"/>
    </row>
    <row r="129" spans="1:9">
      <c r="A129" s="64" t="s">
        <v>38</v>
      </c>
      <c r="B129" s="70">
        <f>10641</f>
        <v>10641</v>
      </c>
      <c r="C129" s="71">
        <v>192.17</v>
      </c>
      <c r="D129" s="72">
        <v>4850</v>
      </c>
      <c r="E129" s="73">
        <v>8000</v>
      </c>
      <c r="F129" s="73">
        <v>8000</v>
      </c>
      <c r="G129" s="324">
        <v>4850</v>
      </c>
      <c r="H129" s="74" t="s">
        <v>107</v>
      </c>
      <c r="I129" s="190"/>
    </row>
    <row r="130" spans="1:9" s="101" customFormat="1">
      <c r="A130" s="64" t="s">
        <v>367</v>
      </c>
      <c r="B130" s="70">
        <v>0</v>
      </c>
      <c r="C130" s="71">
        <v>0</v>
      </c>
      <c r="D130" s="72">
        <v>0</v>
      </c>
      <c r="E130" s="73">
        <v>400</v>
      </c>
      <c r="F130" s="73">
        <v>0</v>
      </c>
      <c r="G130" s="324">
        <v>0</v>
      </c>
      <c r="H130" s="74">
        <v>2900</v>
      </c>
      <c r="I130" s="190"/>
    </row>
    <row r="131" spans="1:9">
      <c r="A131" s="64" t="s">
        <v>39</v>
      </c>
      <c r="B131" s="70">
        <f>21470</f>
        <v>21470</v>
      </c>
      <c r="C131" s="71">
        <v>41402</v>
      </c>
      <c r="D131" s="72">
        <v>33170</v>
      </c>
      <c r="E131" s="73">
        <v>25000</v>
      </c>
      <c r="F131" s="73">
        <v>43080</v>
      </c>
      <c r="G131" s="324">
        <f>43190+3000</f>
        <v>46190</v>
      </c>
      <c r="H131" s="74" t="s">
        <v>86</v>
      </c>
      <c r="I131" s="77" t="s">
        <v>382</v>
      </c>
    </row>
    <row r="132" spans="1:9" s="202" customFormat="1">
      <c r="A132" s="64" t="s">
        <v>40</v>
      </c>
      <c r="B132" s="70">
        <f>4500</f>
        <v>4500</v>
      </c>
      <c r="C132" s="71">
        <f>4500</f>
        <v>4500</v>
      </c>
      <c r="D132" s="72">
        <v>758</v>
      </c>
      <c r="E132" s="73">
        <v>1000</v>
      </c>
      <c r="F132" s="73">
        <v>4500</v>
      </c>
      <c r="G132" s="324">
        <v>758</v>
      </c>
      <c r="H132" s="74">
        <v>5000</v>
      </c>
      <c r="I132" s="190"/>
    </row>
    <row r="133" spans="1:9" s="101" customFormat="1">
      <c r="A133" s="64" t="s">
        <v>41</v>
      </c>
      <c r="B133" s="70">
        <f>9974+2275</f>
        <v>12249</v>
      </c>
      <c r="C133" s="71">
        <v>9168.81</v>
      </c>
      <c r="D133" s="72">
        <v>1968</v>
      </c>
      <c r="E133" s="73">
        <v>25000</v>
      </c>
      <c r="F133" s="73">
        <v>25000</v>
      </c>
      <c r="G133" s="324">
        <v>1968</v>
      </c>
      <c r="H133" s="74" t="s">
        <v>103</v>
      </c>
      <c r="I133" s="77" t="s">
        <v>406</v>
      </c>
    </row>
    <row r="134" spans="1:9">
      <c r="A134" s="64" t="s">
        <v>42</v>
      </c>
      <c r="B134" s="70">
        <v>0</v>
      </c>
      <c r="C134" s="71">
        <v>0</v>
      </c>
      <c r="D134" s="72">
        <v>200</v>
      </c>
      <c r="E134" s="73">
        <v>1400</v>
      </c>
      <c r="F134" s="73">
        <v>1400</v>
      </c>
      <c r="G134" s="324">
        <v>200</v>
      </c>
      <c r="H134" s="74" t="s">
        <v>81</v>
      </c>
      <c r="I134" s="77"/>
    </row>
    <row r="135" spans="1:9">
      <c r="A135" s="203" t="s">
        <v>43</v>
      </c>
      <c r="B135" s="204">
        <v>6017</v>
      </c>
      <c r="C135" s="205">
        <v>8312.2900000000009</v>
      </c>
      <c r="D135" s="135">
        <v>6075</v>
      </c>
      <c r="E135" s="206">
        <v>6000</v>
      </c>
      <c r="F135" s="206">
        <v>8120</v>
      </c>
      <c r="G135" s="343">
        <v>8100</v>
      </c>
      <c r="H135" s="305">
        <v>2300</v>
      </c>
      <c r="I135" s="306" t="s">
        <v>330</v>
      </c>
    </row>
    <row r="136" spans="1:9" ht="16" thickBot="1">
      <c r="A136" s="208" t="s">
        <v>44</v>
      </c>
      <c r="B136" s="209">
        <v>75426</v>
      </c>
      <c r="C136" s="210">
        <v>83817.350000000006</v>
      </c>
      <c r="D136" s="211">
        <v>63339</v>
      </c>
      <c r="E136" s="212">
        <v>100000</v>
      </c>
      <c r="F136" s="212">
        <v>84664</v>
      </c>
      <c r="G136" s="344">
        <v>84452</v>
      </c>
      <c r="H136" s="307" t="s">
        <v>108</v>
      </c>
      <c r="I136" s="308" t="s">
        <v>330</v>
      </c>
    </row>
    <row r="137" spans="1:9" s="49" customFormat="1" ht="16">
      <c r="A137" s="186" t="s">
        <v>45</v>
      </c>
      <c r="B137" s="187">
        <f>SUM(B117:B136)</f>
        <v>248785</v>
      </c>
      <c r="C137" s="188">
        <f>SUM(C117:C136)</f>
        <v>204612.44</v>
      </c>
      <c r="D137" s="187">
        <f>SUM(D117:D136)</f>
        <v>221387</v>
      </c>
      <c r="E137" s="188">
        <f>SUM(E117:E136)</f>
        <v>263460</v>
      </c>
      <c r="F137" s="188">
        <f t="shared" ref="F137:G137" si="11">SUM(F117:F136)</f>
        <v>389204</v>
      </c>
      <c r="G137" s="188">
        <f t="shared" si="11"/>
        <v>280945</v>
      </c>
      <c r="H137" s="300"/>
      <c r="I137" s="300"/>
    </row>
    <row r="138" spans="1:9">
      <c r="A138" s="64" t="s">
        <v>46</v>
      </c>
      <c r="B138" s="70"/>
      <c r="C138" s="71"/>
      <c r="D138" s="72"/>
      <c r="E138" s="102"/>
      <c r="F138" s="73"/>
      <c r="G138" s="327"/>
      <c r="H138" s="94"/>
      <c r="I138" s="77"/>
    </row>
    <row r="139" spans="1:9">
      <c r="A139" s="64" t="s">
        <v>47</v>
      </c>
      <c r="B139" s="70">
        <v>11865</v>
      </c>
      <c r="C139" s="71">
        <v>10000.719999999999</v>
      </c>
      <c r="D139" s="72">
        <v>13391</v>
      </c>
      <c r="E139" s="73">
        <v>6000</v>
      </c>
      <c r="F139" s="73">
        <v>10000</v>
      </c>
      <c r="G139" s="324">
        <v>16591</v>
      </c>
      <c r="H139" s="74" t="s">
        <v>82</v>
      </c>
      <c r="I139" s="190"/>
    </row>
    <row r="140" spans="1:9">
      <c r="A140" s="64" t="s">
        <v>48</v>
      </c>
      <c r="B140" s="70">
        <v>8814</v>
      </c>
      <c r="C140" s="71">
        <v>11775.19</v>
      </c>
      <c r="D140" s="72">
        <v>12799</v>
      </c>
      <c r="E140" s="73">
        <v>12000</v>
      </c>
      <c r="F140" s="73">
        <v>12000</v>
      </c>
      <c r="G140" s="324">
        <v>16549</v>
      </c>
      <c r="H140" s="74" t="s">
        <v>82</v>
      </c>
      <c r="I140" s="77"/>
    </row>
    <row r="141" spans="1:9">
      <c r="A141" s="64" t="s">
        <v>49</v>
      </c>
      <c r="B141" s="70">
        <v>3263</v>
      </c>
      <c r="C141" s="71">
        <v>11567.5</v>
      </c>
      <c r="D141" s="72">
        <v>10224</v>
      </c>
      <c r="E141" s="73">
        <v>20000</v>
      </c>
      <c r="F141" s="73">
        <v>15000</v>
      </c>
      <c r="G141" s="324">
        <v>12224</v>
      </c>
      <c r="H141" s="74" t="s">
        <v>82</v>
      </c>
      <c r="I141" s="77"/>
    </row>
    <row r="142" spans="1:9">
      <c r="A142" s="64" t="s">
        <v>343</v>
      </c>
      <c r="B142" s="70">
        <f>23211+6735</f>
        <v>29946</v>
      </c>
      <c r="C142" s="71">
        <f>34795.39+46.26</f>
        <v>34841.65</v>
      </c>
      <c r="D142" s="72">
        <f>42094+30</f>
        <v>42124</v>
      </c>
      <c r="E142" s="73">
        <v>28000</v>
      </c>
      <c r="F142" s="73">
        <v>35000</v>
      </c>
      <c r="G142" s="324">
        <f>57094+30</f>
        <v>57124</v>
      </c>
      <c r="H142" s="74" t="s">
        <v>82</v>
      </c>
      <c r="I142" s="77"/>
    </row>
    <row r="143" spans="1:9" s="202" customFormat="1">
      <c r="A143" s="64" t="s">
        <v>50</v>
      </c>
      <c r="B143" s="70">
        <v>296503</v>
      </c>
      <c r="C143" s="71">
        <v>302595.53999999998</v>
      </c>
      <c r="D143" s="72">
        <v>227197</v>
      </c>
      <c r="E143" s="73">
        <v>308000</v>
      </c>
      <c r="F143" s="73">
        <v>308000</v>
      </c>
      <c r="G143" s="324">
        <v>302845</v>
      </c>
      <c r="H143" s="74" t="s">
        <v>82</v>
      </c>
      <c r="I143" s="77" t="s">
        <v>261</v>
      </c>
    </row>
    <row r="144" spans="1:9" s="202" customFormat="1" ht="16" thickBot="1">
      <c r="A144" s="80" t="s">
        <v>258</v>
      </c>
      <c r="B144" s="81">
        <v>2604</v>
      </c>
      <c r="C144" s="82">
        <f>2604</f>
        <v>2604</v>
      </c>
      <c r="D144" s="83">
        <v>1993</v>
      </c>
      <c r="E144" s="84">
        <v>0</v>
      </c>
      <c r="F144" s="84">
        <v>2604</v>
      </c>
      <c r="G144" s="325">
        <v>2660</v>
      </c>
      <c r="H144" s="85">
        <v>2620</v>
      </c>
      <c r="I144" s="86"/>
    </row>
    <row r="145" spans="1:9" s="49" customFormat="1" ht="16">
      <c r="A145" s="186" t="s">
        <v>51</v>
      </c>
      <c r="B145" s="187">
        <f>SUM(B139:B144)</f>
        <v>352995</v>
      </c>
      <c r="C145" s="188">
        <f t="shared" ref="C145:G145" si="12">SUM(C139:C144)</f>
        <v>373384.6</v>
      </c>
      <c r="D145" s="187">
        <f t="shared" si="12"/>
        <v>307728</v>
      </c>
      <c r="E145" s="188">
        <f t="shared" si="12"/>
        <v>374000</v>
      </c>
      <c r="F145" s="188">
        <f t="shared" si="12"/>
        <v>382604</v>
      </c>
      <c r="G145" s="188">
        <f t="shared" si="12"/>
        <v>407993</v>
      </c>
      <c r="H145" s="300"/>
      <c r="I145" s="300"/>
    </row>
    <row r="146" spans="1:9">
      <c r="A146" s="64" t="s">
        <v>52</v>
      </c>
      <c r="B146" s="92"/>
      <c r="C146" s="93"/>
      <c r="D146" s="72"/>
      <c r="E146" s="102"/>
      <c r="F146" s="73"/>
      <c r="G146" s="327"/>
      <c r="H146" s="94"/>
      <c r="I146" s="77"/>
    </row>
    <row r="147" spans="1:9">
      <c r="A147" s="103" t="s">
        <v>292</v>
      </c>
      <c r="B147" s="78">
        <f>12298+12323</f>
        <v>24621</v>
      </c>
      <c r="C147" s="79">
        <v>52429.98</v>
      </c>
      <c r="D147" s="72">
        <v>59904</v>
      </c>
      <c r="E147" s="73">
        <v>35000</v>
      </c>
      <c r="F147" s="73">
        <v>55000</v>
      </c>
      <c r="G147" s="324">
        <v>60000</v>
      </c>
      <c r="H147" s="74">
        <v>2850</v>
      </c>
      <c r="I147" s="77" t="s">
        <v>315</v>
      </c>
    </row>
    <row r="148" spans="1:9">
      <c r="A148" s="103" t="s">
        <v>305</v>
      </c>
      <c r="B148" s="70">
        <f>5156</f>
        <v>5156</v>
      </c>
      <c r="C148" s="71">
        <v>9617.15</v>
      </c>
      <c r="D148" s="72">
        <v>0</v>
      </c>
      <c r="E148" s="73">
        <v>0</v>
      </c>
      <c r="F148" s="73">
        <v>10000</v>
      </c>
      <c r="G148" s="324">
        <v>0</v>
      </c>
      <c r="H148" s="74" t="s">
        <v>106</v>
      </c>
      <c r="I148" s="77"/>
    </row>
    <row r="149" spans="1:9" s="101" customFormat="1">
      <c r="A149" s="214" t="s">
        <v>306</v>
      </c>
      <c r="B149" s="192">
        <f>16367</f>
        <v>16367</v>
      </c>
      <c r="C149" s="193">
        <v>8667.08</v>
      </c>
      <c r="D149" s="194">
        <v>12663</v>
      </c>
      <c r="E149" s="195">
        <v>7370</v>
      </c>
      <c r="F149" s="195">
        <v>10000</v>
      </c>
      <c r="G149" s="341">
        <v>23129</v>
      </c>
      <c r="H149" s="301" t="s">
        <v>106</v>
      </c>
      <c r="I149" s="302" t="s">
        <v>316</v>
      </c>
    </row>
    <row r="150" spans="1:9" s="101" customFormat="1">
      <c r="A150" s="103" t="s">
        <v>307</v>
      </c>
      <c r="B150" s="78">
        <v>2376</v>
      </c>
      <c r="C150" s="79">
        <v>13377</v>
      </c>
      <c r="D150" s="127">
        <v>0</v>
      </c>
      <c r="E150" s="122">
        <v>22000</v>
      </c>
      <c r="F150" s="122">
        <v>15000</v>
      </c>
      <c r="G150" s="324">
        <v>15000</v>
      </c>
      <c r="H150" s="74" t="s">
        <v>106</v>
      </c>
      <c r="I150" s="77"/>
    </row>
    <row r="151" spans="1:9">
      <c r="A151" s="103" t="s">
        <v>308</v>
      </c>
      <c r="B151" s="70">
        <v>25798</v>
      </c>
      <c r="C151" s="71">
        <v>32688.27</v>
      </c>
      <c r="D151" s="72">
        <v>14310</v>
      </c>
      <c r="E151" s="73">
        <v>22000</v>
      </c>
      <c r="F151" s="73">
        <v>35000</v>
      </c>
      <c r="G151" s="324">
        <v>19080</v>
      </c>
      <c r="H151" s="74">
        <v>2845</v>
      </c>
      <c r="I151" s="77" t="s">
        <v>317</v>
      </c>
    </row>
    <row r="152" spans="1:9">
      <c r="A152" s="103" t="s">
        <v>309</v>
      </c>
      <c r="B152" s="70">
        <v>0</v>
      </c>
      <c r="C152" s="71">
        <v>9904.31</v>
      </c>
      <c r="D152" s="72">
        <v>7126</v>
      </c>
      <c r="E152" s="73">
        <v>18000</v>
      </c>
      <c r="F152" s="73">
        <v>10000</v>
      </c>
      <c r="G152" s="324">
        <v>7132</v>
      </c>
      <c r="H152" s="94">
        <v>2200</v>
      </c>
      <c r="I152" s="77" t="s">
        <v>318</v>
      </c>
    </row>
    <row r="153" spans="1:9">
      <c r="A153" s="103" t="s">
        <v>310</v>
      </c>
      <c r="B153" s="70">
        <v>2989</v>
      </c>
      <c r="C153" s="71">
        <v>5682.8</v>
      </c>
      <c r="D153" s="72">
        <v>4809</v>
      </c>
      <c r="E153" s="73">
        <v>10000</v>
      </c>
      <c r="F153" s="73">
        <v>7500</v>
      </c>
      <c r="G153" s="324">
        <v>6375</v>
      </c>
      <c r="H153" s="74">
        <v>2845</v>
      </c>
      <c r="I153" s="77"/>
    </row>
    <row r="154" spans="1:9">
      <c r="A154" s="103" t="s">
        <v>311</v>
      </c>
      <c r="B154" s="70">
        <v>216</v>
      </c>
      <c r="C154" s="71">
        <v>319.88</v>
      </c>
      <c r="D154" s="72">
        <v>189</v>
      </c>
      <c r="E154" s="73">
        <v>1500</v>
      </c>
      <c r="F154" s="73">
        <v>500</v>
      </c>
      <c r="G154" s="324">
        <v>249</v>
      </c>
      <c r="H154" s="74">
        <v>2845</v>
      </c>
      <c r="I154" s="77"/>
    </row>
    <row r="155" spans="1:9">
      <c r="A155" s="103" t="s">
        <v>312</v>
      </c>
      <c r="B155" s="70">
        <v>11773</v>
      </c>
      <c r="C155" s="71">
        <v>9787.7099999999991</v>
      </c>
      <c r="D155" s="72">
        <v>7154</v>
      </c>
      <c r="E155" s="73">
        <v>12000</v>
      </c>
      <c r="F155" s="73">
        <v>12000</v>
      </c>
      <c r="G155" s="324">
        <v>8654</v>
      </c>
      <c r="H155" s="94">
        <v>2200</v>
      </c>
      <c r="I155" s="77"/>
    </row>
    <row r="156" spans="1:9">
      <c r="A156" s="103" t="s">
        <v>313</v>
      </c>
      <c r="B156" s="70">
        <v>0</v>
      </c>
      <c r="C156" s="71">
        <v>551.30999999999995</v>
      </c>
      <c r="D156" s="72">
        <v>0</v>
      </c>
      <c r="E156" s="73">
        <v>6000</v>
      </c>
      <c r="F156" s="73">
        <v>600</v>
      </c>
      <c r="G156" s="324">
        <v>0</v>
      </c>
      <c r="H156" s="94">
        <v>2200</v>
      </c>
      <c r="I156" s="77"/>
    </row>
    <row r="157" spans="1:9">
      <c r="A157" s="103" t="s">
        <v>314</v>
      </c>
      <c r="B157" s="70">
        <v>23114</v>
      </c>
      <c r="C157" s="71">
        <v>46837.65</v>
      </c>
      <c r="D157" s="72">
        <v>33433</v>
      </c>
      <c r="E157" s="73">
        <v>20000</v>
      </c>
      <c r="F157" s="73">
        <v>20000</v>
      </c>
      <c r="G157" s="324">
        <v>35000</v>
      </c>
      <c r="H157" s="74" t="s">
        <v>81</v>
      </c>
      <c r="I157" s="77" t="s">
        <v>331</v>
      </c>
    </row>
    <row r="158" spans="1:9">
      <c r="A158" s="215" t="s">
        <v>97</v>
      </c>
      <c r="B158" s="216">
        <v>34992</v>
      </c>
      <c r="C158" s="217">
        <v>26333.4</v>
      </c>
      <c r="D158" s="218">
        <v>6144</v>
      </c>
      <c r="E158" s="219">
        <v>5000</v>
      </c>
      <c r="F158" s="219">
        <v>5000</v>
      </c>
      <c r="G158" s="324">
        <f>8144</f>
        <v>8144</v>
      </c>
      <c r="H158" s="74">
        <v>2410</v>
      </c>
      <c r="I158" s="77" t="s">
        <v>346</v>
      </c>
    </row>
    <row r="159" spans="1:9">
      <c r="A159" s="215" t="s">
        <v>293</v>
      </c>
      <c r="B159" s="216">
        <v>0</v>
      </c>
      <c r="C159" s="217">
        <v>2667</v>
      </c>
      <c r="D159" s="218">
        <v>0</v>
      </c>
      <c r="E159" s="219">
        <v>0</v>
      </c>
      <c r="F159" s="219">
        <v>3000</v>
      </c>
      <c r="G159" s="324">
        <v>3000</v>
      </c>
      <c r="H159" s="74">
        <v>3100</v>
      </c>
      <c r="I159" s="77" t="s">
        <v>319</v>
      </c>
    </row>
    <row r="160" spans="1:9" ht="16" thickBot="1">
      <c r="A160" s="220" t="s">
        <v>294</v>
      </c>
      <c r="B160" s="221">
        <v>391242</v>
      </c>
      <c r="C160" s="222">
        <v>391453.92</v>
      </c>
      <c r="D160" s="211">
        <v>95498</v>
      </c>
      <c r="E160" s="212">
        <v>120000</v>
      </c>
      <c r="F160" s="212">
        <v>127200</v>
      </c>
      <c r="G160" s="344">
        <v>127218</v>
      </c>
      <c r="H160" s="307" t="s">
        <v>108</v>
      </c>
      <c r="I160" s="308" t="s">
        <v>330</v>
      </c>
    </row>
    <row r="161" spans="1:9" s="49" customFormat="1" ht="16">
      <c r="A161" s="186" t="s">
        <v>53</v>
      </c>
      <c r="B161" s="187">
        <f>SUM(B146:B160)</f>
        <v>538644</v>
      </c>
      <c r="C161" s="188">
        <f t="shared" ref="C161:G161" si="13">SUM(C146:C160)</f>
        <v>610317.46</v>
      </c>
      <c r="D161" s="187">
        <f t="shared" si="13"/>
        <v>241230</v>
      </c>
      <c r="E161" s="188">
        <f t="shared" si="13"/>
        <v>278870</v>
      </c>
      <c r="F161" s="188">
        <f t="shared" si="13"/>
        <v>310800</v>
      </c>
      <c r="G161" s="188">
        <f t="shared" si="13"/>
        <v>312981</v>
      </c>
      <c r="H161" s="300"/>
      <c r="I161" s="300"/>
    </row>
    <row r="162" spans="1:9">
      <c r="A162" s="64" t="s">
        <v>54</v>
      </c>
      <c r="B162" s="92"/>
      <c r="C162" s="93"/>
      <c r="D162" s="72"/>
      <c r="E162" s="102"/>
      <c r="F162" s="73"/>
      <c r="G162" s="327"/>
      <c r="H162" s="94"/>
      <c r="I162" s="77"/>
    </row>
    <row r="163" spans="1:9">
      <c r="A163" s="64" t="s">
        <v>55</v>
      </c>
      <c r="B163" s="70">
        <f>9464</f>
        <v>9464</v>
      </c>
      <c r="C163" s="71">
        <v>16261.17</v>
      </c>
      <c r="D163" s="72">
        <v>7332</v>
      </c>
      <c r="E163" s="73">
        <v>18500</v>
      </c>
      <c r="F163" s="73">
        <v>18500</v>
      </c>
      <c r="G163" s="324">
        <v>12000</v>
      </c>
      <c r="H163" s="74" t="s">
        <v>85</v>
      </c>
      <c r="I163" s="223"/>
    </row>
    <row r="164" spans="1:9">
      <c r="A164" s="64" t="s">
        <v>95</v>
      </c>
      <c r="B164" s="70">
        <f>2298+22369</f>
        <v>24667</v>
      </c>
      <c r="C164" s="71">
        <v>23475.88</v>
      </c>
      <c r="D164" s="72">
        <v>24703</v>
      </c>
      <c r="E164" s="73">
        <f>1000+20000</f>
        <v>21000</v>
      </c>
      <c r="F164" s="73">
        <v>25000</v>
      </c>
      <c r="G164" s="324">
        <v>29203</v>
      </c>
      <c r="H164" s="74" t="s">
        <v>85</v>
      </c>
      <c r="I164" s="223"/>
    </row>
    <row r="165" spans="1:9">
      <c r="A165" s="64" t="s">
        <v>56</v>
      </c>
      <c r="B165" s="70">
        <f>8387+18</f>
        <v>8405</v>
      </c>
      <c r="C165" s="71">
        <v>6726.24</v>
      </c>
      <c r="D165" s="72">
        <v>12149</v>
      </c>
      <c r="E165" s="73">
        <v>25000</v>
      </c>
      <c r="F165" s="73">
        <v>10000</v>
      </c>
      <c r="G165" s="324">
        <v>16649</v>
      </c>
      <c r="H165" s="74" t="s">
        <v>81</v>
      </c>
      <c r="I165" s="223"/>
    </row>
    <row r="166" spans="1:9">
      <c r="A166" s="64" t="s">
        <v>57</v>
      </c>
      <c r="B166" s="70">
        <v>0</v>
      </c>
      <c r="C166" s="71">
        <v>0</v>
      </c>
      <c r="D166" s="72">
        <v>0</v>
      </c>
      <c r="E166" s="73">
        <v>500</v>
      </c>
      <c r="F166" s="73">
        <v>500</v>
      </c>
      <c r="G166" s="324">
        <v>0</v>
      </c>
      <c r="H166" s="74" t="s">
        <v>109</v>
      </c>
      <c r="I166" s="223"/>
    </row>
    <row r="167" spans="1:9">
      <c r="A167" s="64" t="s">
        <v>58</v>
      </c>
      <c r="B167" s="70">
        <v>637</v>
      </c>
      <c r="C167" s="71">
        <v>431.8</v>
      </c>
      <c r="D167" s="72">
        <v>1019</v>
      </c>
      <c r="E167" s="73">
        <v>100</v>
      </c>
      <c r="F167" s="73">
        <v>1000</v>
      </c>
      <c r="G167" s="324">
        <v>1019</v>
      </c>
      <c r="H167" s="74" t="s">
        <v>85</v>
      </c>
      <c r="I167" s="223"/>
    </row>
    <row r="168" spans="1:9">
      <c r="A168" s="64" t="s">
        <v>59</v>
      </c>
      <c r="B168" s="70">
        <v>86</v>
      </c>
      <c r="C168" s="71">
        <v>2503.8200000000002</v>
      </c>
      <c r="D168" s="72">
        <v>1588</v>
      </c>
      <c r="E168" s="73">
        <v>1000</v>
      </c>
      <c r="F168" s="73">
        <v>2000</v>
      </c>
      <c r="G168" s="324">
        <v>2088</v>
      </c>
      <c r="H168" s="74" t="s">
        <v>80</v>
      </c>
      <c r="I168" s="223"/>
    </row>
    <row r="169" spans="1:9">
      <c r="A169" s="64" t="s">
        <v>60</v>
      </c>
      <c r="B169" s="70">
        <v>2358</v>
      </c>
      <c r="C169" s="71">
        <v>1516.91</v>
      </c>
      <c r="D169" s="72">
        <v>1804</v>
      </c>
      <c r="E169" s="73">
        <v>500</v>
      </c>
      <c r="F169" s="73">
        <v>1500</v>
      </c>
      <c r="G169" s="324">
        <v>2004</v>
      </c>
      <c r="H169" s="74" t="s">
        <v>80</v>
      </c>
      <c r="I169" s="223"/>
    </row>
    <row r="170" spans="1:9">
      <c r="A170" s="64" t="s">
        <v>61</v>
      </c>
      <c r="B170" s="70">
        <v>22628</v>
      </c>
      <c r="C170" s="71">
        <v>13516.87</v>
      </c>
      <c r="D170" s="72">
        <v>14194</v>
      </c>
      <c r="E170" s="73">
        <v>20000</v>
      </c>
      <c r="F170" s="73">
        <v>20000</v>
      </c>
      <c r="G170" s="324">
        <v>20194</v>
      </c>
      <c r="H170" s="74" t="s">
        <v>81</v>
      </c>
      <c r="I170" s="223"/>
    </row>
    <row r="171" spans="1:9">
      <c r="A171" s="64" t="s">
        <v>62</v>
      </c>
      <c r="B171" s="70">
        <v>1387</v>
      </c>
      <c r="C171" s="71">
        <v>4047.27</v>
      </c>
      <c r="D171" s="72">
        <v>4678</v>
      </c>
      <c r="E171" s="73">
        <v>3000</v>
      </c>
      <c r="F171" s="73">
        <v>5000</v>
      </c>
      <c r="G171" s="324">
        <v>6528</v>
      </c>
      <c r="H171" s="74" t="s">
        <v>81</v>
      </c>
      <c r="I171" s="223"/>
    </row>
    <row r="172" spans="1:9">
      <c r="A172" s="64" t="s">
        <v>63</v>
      </c>
      <c r="B172" s="70">
        <v>1176</v>
      </c>
      <c r="C172" s="71">
        <v>701.26</v>
      </c>
      <c r="D172" s="72">
        <v>632</v>
      </c>
      <c r="E172" s="73">
        <v>500</v>
      </c>
      <c r="F172" s="73">
        <v>500</v>
      </c>
      <c r="G172" s="324">
        <v>632</v>
      </c>
      <c r="H172" s="74" t="s">
        <v>80</v>
      </c>
      <c r="I172" s="223"/>
    </row>
    <row r="173" spans="1:9">
      <c r="A173" s="100" t="s">
        <v>371</v>
      </c>
      <c r="B173" s="70">
        <v>0</v>
      </c>
      <c r="C173" s="71">
        <v>0</v>
      </c>
      <c r="D173" s="72">
        <v>2058</v>
      </c>
      <c r="E173" s="73">
        <v>0</v>
      </c>
      <c r="F173" s="73">
        <v>2000</v>
      </c>
      <c r="G173" s="324">
        <v>2058</v>
      </c>
      <c r="H173" s="74" t="s">
        <v>80</v>
      </c>
      <c r="I173" s="223"/>
    </row>
    <row r="174" spans="1:9">
      <c r="A174" s="64" t="s">
        <v>407</v>
      </c>
      <c r="B174" s="70">
        <v>311</v>
      </c>
      <c r="C174" s="71">
        <f>310.27+127.61</f>
        <v>437.88</v>
      </c>
      <c r="D174" s="72">
        <v>695</v>
      </c>
      <c r="E174" s="73">
        <v>10000</v>
      </c>
      <c r="F174" s="73">
        <v>5000</v>
      </c>
      <c r="G174" s="324">
        <v>1000</v>
      </c>
      <c r="H174" s="74" t="s">
        <v>110</v>
      </c>
      <c r="I174" s="223"/>
    </row>
    <row r="175" spans="1:9">
      <c r="A175" s="64" t="s">
        <v>64</v>
      </c>
      <c r="B175" s="70">
        <v>0</v>
      </c>
      <c r="C175" s="71">
        <v>0</v>
      </c>
      <c r="D175" s="72">
        <v>0</v>
      </c>
      <c r="E175" s="73">
        <v>1150</v>
      </c>
      <c r="F175" s="73">
        <v>0</v>
      </c>
      <c r="G175" s="324">
        <v>0</v>
      </c>
      <c r="H175" s="74" t="s">
        <v>81</v>
      </c>
      <c r="I175" s="223"/>
    </row>
    <row r="176" spans="1:9">
      <c r="A176" s="203" t="s">
        <v>65</v>
      </c>
      <c r="B176" s="204">
        <v>3905</v>
      </c>
      <c r="C176" s="205">
        <v>11052.9</v>
      </c>
      <c r="D176" s="135">
        <v>10705</v>
      </c>
      <c r="E176" s="206">
        <v>10000</v>
      </c>
      <c r="F176" s="206">
        <v>12000</v>
      </c>
      <c r="G176" s="343">
        <v>15205</v>
      </c>
      <c r="H176" s="305" t="s">
        <v>82</v>
      </c>
      <c r="I176" s="309"/>
    </row>
    <row r="177" spans="1:9">
      <c r="A177" s="203" t="s">
        <v>66</v>
      </c>
      <c r="B177" s="204">
        <v>7193</v>
      </c>
      <c r="C177" s="205">
        <v>4720.87</v>
      </c>
      <c r="D177" s="135">
        <v>0</v>
      </c>
      <c r="E177" s="206">
        <v>7500</v>
      </c>
      <c r="F177" s="206">
        <v>7500</v>
      </c>
      <c r="G177" s="343">
        <v>0</v>
      </c>
      <c r="H177" s="305" t="s">
        <v>82</v>
      </c>
      <c r="I177" s="309"/>
    </row>
    <row r="178" spans="1:9">
      <c r="A178" s="100" t="s">
        <v>370</v>
      </c>
      <c r="B178" s="70">
        <v>0</v>
      </c>
      <c r="C178" s="71">
        <v>0</v>
      </c>
      <c r="D178" s="72">
        <v>4195</v>
      </c>
      <c r="E178" s="73">
        <v>0</v>
      </c>
      <c r="F178" s="73">
        <v>4000</v>
      </c>
      <c r="G178" s="324">
        <v>4195</v>
      </c>
      <c r="H178" s="74">
        <v>1700</v>
      </c>
      <c r="I178" s="168" t="s">
        <v>354</v>
      </c>
    </row>
    <row r="179" spans="1:9">
      <c r="A179" s="64" t="s">
        <v>67</v>
      </c>
      <c r="B179" s="70">
        <v>8688</v>
      </c>
      <c r="C179" s="71">
        <v>12646.68</v>
      </c>
      <c r="D179" s="72">
        <v>6117</v>
      </c>
      <c r="E179" s="73">
        <v>6000</v>
      </c>
      <c r="F179" s="73">
        <v>13000</v>
      </c>
      <c r="G179" s="324">
        <v>10617</v>
      </c>
      <c r="H179" s="74" t="s">
        <v>82</v>
      </c>
      <c r="I179" s="223"/>
    </row>
    <row r="180" spans="1:9">
      <c r="A180" s="64" t="s">
        <v>68</v>
      </c>
      <c r="B180" s="70">
        <v>18068</v>
      </c>
      <c r="C180" s="71">
        <v>19326</v>
      </c>
      <c r="D180" s="72">
        <v>11624</v>
      </c>
      <c r="E180" s="73">
        <v>15500</v>
      </c>
      <c r="F180" s="73">
        <v>20000</v>
      </c>
      <c r="G180" s="324">
        <v>15824</v>
      </c>
      <c r="H180" s="74" t="s">
        <v>82</v>
      </c>
      <c r="I180" s="223"/>
    </row>
    <row r="181" spans="1:9">
      <c r="A181" s="224" t="s">
        <v>372</v>
      </c>
      <c r="B181" s="70">
        <f>0</f>
        <v>0</v>
      </c>
      <c r="C181" s="71">
        <v>42.55</v>
      </c>
      <c r="D181" s="72">
        <v>0</v>
      </c>
      <c r="E181" s="73">
        <v>2800</v>
      </c>
      <c r="F181" s="73">
        <v>2800</v>
      </c>
      <c r="G181" s="324">
        <v>0</v>
      </c>
      <c r="H181" s="74" t="s">
        <v>87</v>
      </c>
      <c r="I181" s="223"/>
    </row>
    <row r="182" spans="1:9">
      <c r="A182" s="64" t="s">
        <v>69</v>
      </c>
      <c r="B182" s="70">
        <f>2360</f>
        <v>2360</v>
      </c>
      <c r="C182" s="71">
        <v>580.20000000000005</v>
      </c>
      <c r="D182" s="72">
        <v>0</v>
      </c>
      <c r="E182" s="73">
        <v>50000</v>
      </c>
      <c r="F182" s="73">
        <v>30000</v>
      </c>
      <c r="G182" s="324">
        <v>5000</v>
      </c>
      <c r="H182" s="74" t="s">
        <v>85</v>
      </c>
      <c r="I182" s="223"/>
    </row>
    <row r="183" spans="1:9" ht="16" thickBot="1">
      <c r="A183" s="80" t="s">
        <v>295</v>
      </c>
      <c r="B183" s="81">
        <v>1741</v>
      </c>
      <c r="C183" s="82">
        <v>14774.7</v>
      </c>
      <c r="D183" s="83">
        <v>19124</v>
      </c>
      <c r="E183" s="84">
        <f>5000+5000+4000</f>
        <v>14000</v>
      </c>
      <c r="F183" s="84">
        <v>35000</v>
      </c>
      <c r="G183" s="325">
        <v>19125</v>
      </c>
      <c r="H183" s="85" t="s">
        <v>85</v>
      </c>
      <c r="I183" s="225" t="s">
        <v>384</v>
      </c>
    </row>
    <row r="184" spans="1:9" s="49" customFormat="1" ht="16">
      <c r="A184" s="186" t="s">
        <v>70</v>
      </c>
      <c r="B184" s="187">
        <f>SUM(B163:B183)</f>
        <v>113074</v>
      </c>
      <c r="C184" s="188">
        <f>SUM(C163:C183)</f>
        <v>132763</v>
      </c>
      <c r="D184" s="187">
        <f>SUM(D163:D183)</f>
        <v>122617</v>
      </c>
      <c r="E184" s="188">
        <f>SUM(E163:E183)</f>
        <v>207050</v>
      </c>
      <c r="F184" s="188">
        <f t="shared" ref="F184:G184" si="14">SUM(F163:F183)</f>
        <v>215300</v>
      </c>
      <c r="G184" s="188">
        <f t="shared" si="14"/>
        <v>163341</v>
      </c>
      <c r="H184" s="300"/>
      <c r="I184" s="300"/>
    </row>
    <row r="185" spans="1:9">
      <c r="A185" s="64" t="s">
        <v>71</v>
      </c>
      <c r="B185" s="92"/>
      <c r="C185" s="93"/>
      <c r="D185" s="72"/>
      <c r="E185" s="102"/>
      <c r="F185" s="73"/>
      <c r="G185" s="327"/>
      <c r="H185" s="94"/>
      <c r="I185" s="77"/>
    </row>
    <row r="186" spans="1:9">
      <c r="A186" s="226" t="s">
        <v>296</v>
      </c>
      <c r="B186" s="227">
        <v>33504</v>
      </c>
      <c r="C186" s="228">
        <v>10151</v>
      </c>
      <c r="D186" s="229">
        <v>26225</v>
      </c>
      <c r="E186" s="230">
        <v>0</v>
      </c>
      <c r="F186" s="230">
        <v>27000</v>
      </c>
      <c r="G186" s="345">
        <v>26225</v>
      </c>
      <c r="H186" s="310" t="s">
        <v>300</v>
      </c>
      <c r="I186" s="311" t="s">
        <v>374</v>
      </c>
    </row>
    <row r="187" spans="1:9">
      <c r="A187" s="226" t="s">
        <v>297</v>
      </c>
      <c r="B187" s="227">
        <v>0</v>
      </c>
      <c r="C187" s="228">
        <v>0</v>
      </c>
      <c r="D187" s="229">
        <v>0</v>
      </c>
      <c r="E187" s="230">
        <v>0</v>
      </c>
      <c r="F187" s="230">
        <v>382196.87</v>
      </c>
      <c r="G187" s="346">
        <v>0</v>
      </c>
      <c r="H187" s="310" t="s">
        <v>82</v>
      </c>
      <c r="I187" s="311" t="s">
        <v>375</v>
      </c>
    </row>
    <row r="188" spans="1:9">
      <c r="A188" s="103" t="s">
        <v>373</v>
      </c>
      <c r="B188" s="70">
        <v>0</v>
      </c>
      <c r="C188" s="71">
        <v>0</v>
      </c>
      <c r="D188" s="72">
        <v>0</v>
      </c>
      <c r="E188" s="73">
        <v>2100</v>
      </c>
      <c r="F188" s="73">
        <v>2100</v>
      </c>
      <c r="G188" s="324">
        <v>0</v>
      </c>
      <c r="H188" s="74">
        <v>2900</v>
      </c>
      <c r="I188" s="77"/>
    </row>
    <row r="189" spans="1:9">
      <c r="A189" s="103" t="s">
        <v>301</v>
      </c>
      <c r="B189" s="70">
        <v>16096</v>
      </c>
      <c r="C189" s="71">
        <v>7973.21</v>
      </c>
      <c r="D189" s="72">
        <v>1240</v>
      </c>
      <c r="E189" s="73">
        <v>40000</v>
      </c>
      <c r="F189" s="73">
        <v>40000</v>
      </c>
      <c r="G189" s="324">
        <v>1240</v>
      </c>
      <c r="H189" s="74" t="s">
        <v>85</v>
      </c>
      <c r="I189" s="77"/>
    </row>
    <row r="190" spans="1:9">
      <c r="A190" s="103" t="s">
        <v>298</v>
      </c>
      <c r="B190" s="78">
        <v>14387</v>
      </c>
      <c r="C190" s="79">
        <v>17476.650000000001</v>
      </c>
      <c r="D190" s="72">
        <v>0</v>
      </c>
      <c r="E190" s="73">
        <v>23000</v>
      </c>
      <c r="F190" s="73">
        <v>10000</v>
      </c>
      <c r="G190" s="324">
        <v>30000</v>
      </c>
      <c r="H190" s="74" t="s">
        <v>81</v>
      </c>
      <c r="I190" s="77"/>
    </row>
    <row r="191" spans="1:9" ht="16" thickBot="1">
      <c r="A191" s="106" t="s">
        <v>299</v>
      </c>
      <c r="B191" s="81">
        <v>15643</v>
      </c>
      <c r="C191" s="82">
        <f>20475.37-0.49</f>
        <v>20474.879999999997</v>
      </c>
      <c r="D191" s="83">
        <v>10975</v>
      </c>
      <c r="E191" s="84">
        <v>17000</v>
      </c>
      <c r="F191" s="84">
        <v>20000</v>
      </c>
      <c r="G191" s="325">
        <v>13074</v>
      </c>
      <c r="H191" s="85" t="s">
        <v>81</v>
      </c>
      <c r="I191" s="86"/>
    </row>
    <row r="192" spans="1:9" s="49" customFormat="1" ht="16">
      <c r="A192" s="186" t="s">
        <v>72</v>
      </c>
      <c r="B192" s="231">
        <f t="shared" ref="B192:G192" si="15">SUM(B186:B191)</f>
        <v>79630</v>
      </c>
      <c r="C192" s="232">
        <f t="shared" si="15"/>
        <v>56075.74</v>
      </c>
      <c r="D192" s="231">
        <f t="shared" si="15"/>
        <v>38440</v>
      </c>
      <c r="E192" s="232">
        <f t="shared" si="15"/>
        <v>82100</v>
      </c>
      <c r="F192" s="232">
        <f t="shared" si="15"/>
        <v>481296.87</v>
      </c>
      <c r="G192" s="232">
        <f t="shared" si="15"/>
        <v>70539</v>
      </c>
      <c r="H192" s="312"/>
      <c r="I192" s="312"/>
    </row>
    <row r="193" spans="1:9">
      <c r="A193" s="64" t="s">
        <v>73</v>
      </c>
      <c r="B193" s="92"/>
      <c r="C193" s="93"/>
      <c r="D193" s="72"/>
      <c r="E193" s="102"/>
      <c r="F193" s="73"/>
      <c r="G193" s="327"/>
      <c r="H193" s="94"/>
      <c r="I193" s="77"/>
    </row>
    <row r="194" spans="1:9">
      <c r="A194" s="103" t="s">
        <v>302</v>
      </c>
      <c r="B194" s="70">
        <v>19291</v>
      </c>
      <c r="C194" s="71">
        <v>21590.41</v>
      </c>
      <c r="D194" s="72">
        <v>38547</v>
      </c>
      <c r="E194" s="73">
        <v>4000</v>
      </c>
      <c r="F194" s="73">
        <v>23000</v>
      </c>
      <c r="G194" s="327">
        <v>40000</v>
      </c>
      <c r="H194" s="94">
        <v>2410</v>
      </c>
      <c r="I194" s="77"/>
    </row>
    <row r="195" spans="1:9" ht="16" thickBot="1">
      <c r="A195" s="106" t="s">
        <v>303</v>
      </c>
      <c r="B195" s="70">
        <v>0</v>
      </c>
      <c r="C195" s="71">
        <v>9565</v>
      </c>
      <c r="D195" s="83">
        <v>0</v>
      </c>
      <c r="E195" s="84">
        <v>0</v>
      </c>
      <c r="F195" s="84">
        <v>0</v>
      </c>
      <c r="G195" s="325">
        <v>0</v>
      </c>
      <c r="H195" s="85" t="s">
        <v>78</v>
      </c>
      <c r="I195" s="86"/>
    </row>
    <row r="196" spans="1:9" s="49" customFormat="1" ht="17" thickBot="1">
      <c r="A196" s="234" t="s">
        <v>74</v>
      </c>
      <c r="B196" s="235">
        <f t="shared" ref="B196:G196" si="16">SUM(B194:B195)</f>
        <v>19291</v>
      </c>
      <c r="C196" s="236">
        <f t="shared" si="16"/>
        <v>31155.41</v>
      </c>
      <c r="D196" s="235">
        <f t="shared" si="16"/>
        <v>38547</v>
      </c>
      <c r="E196" s="236">
        <f t="shared" si="16"/>
        <v>4000</v>
      </c>
      <c r="F196" s="236">
        <f t="shared" si="16"/>
        <v>23000</v>
      </c>
      <c r="G196" s="236">
        <f t="shared" si="16"/>
        <v>40000</v>
      </c>
      <c r="H196" s="313"/>
      <c r="I196" s="313"/>
    </row>
    <row r="197" spans="1:9" s="49" customFormat="1">
      <c r="A197" s="241" t="s">
        <v>75</v>
      </c>
      <c r="B197" s="314">
        <f t="shared" ref="B197:G197" si="17">B63+B116+B137+B145+B161+B184+B192+B196</f>
        <v>3875198</v>
      </c>
      <c r="C197" s="315">
        <f t="shared" si="17"/>
        <v>4161976.7</v>
      </c>
      <c r="D197" s="314">
        <f t="shared" si="17"/>
        <v>3355331</v>
      </c>
      <c r="E197" s="315">
        <f t="shared" si="17"/>
        <v>4175266</v>
      </c>
      <c r="F197" s="315">
        <f t="shared" si="17"/>
        <v>5107490.7</v>
      </c>
      <c r="G197" s="315">
        <f t="shared" si="17"/>
        <v>4723526</v>
      </c>
      <c r="H197" s="240"/>
      <c r="I197" s="240"/>
    </row>
    <row r="198" spans="1:9" s="49" customFormat="1">
      <c r="A198" s="241"/>
      <c r="B198" s="242"/>
      <c r="C198" s="243"/>
      <c r="D198" s="244"/>
      <c r="E198" s="245"/>
      <c r="F198" s="246"/>
      <c r="G198" s="347"/>
      <c r="H198" s="247"/>
      <c r="I198" s="190"/>
    </row>
    <row r="199" spans="1:9" s="49" customFormat="1" ht="17" thickBot="1">
      <c r="A199" s="248" t="s">
        <v>259</v>
      </c>
      <c r="B199" s="249">
        <f t="shared" ref="B199:G199" si="18">B44-B197</f>
        <v>210689</v>
      </c>
      <c r="C199" s="250">
        <f t="shared" si="18"/>
        <v>283506.88999999966</v>
      </c>
      <c r="D199" s="249">
        <f t="shared" si="18"/>
        <v>266326</v>
      </c>
      <c r="E199" s="250">
        <f t="shared" si="18"/>
        <v>20626.55999999959</v>
      </c>
      <c r="F199" s="250">
        <f t="shared" si="18"/>
        <v>-336993.87666666694</v>
      </c>
      <c r="G199" s="250">
        <f t="shared" si="18"/>
        <v>215141.53000000026</v>
      </c>
      <c r="H199" s="316"/>
      <c r="I199" s="316"/>
    </row>
    <row r="200" spans="1:9" ht="16" thickTop="1">
      <c r="A200" s="64"/>
      <c r="B200" s="92"/>
      <c r="C200" s="93"/>
      <c r="D200" s="252"/>
      <c r="E200" s="253"/>
      <c r="F200" s="254"/>
      <c r="G200" s="348"/>
      <c r="H200" s="94"/>
      <c r="I200" s="77"/>
    </row>
    <row r="201" spans="1:9" s="101" customFormat="1">
      <c r="A201" s="60" t="s">
        <v>385</v>
      </c>
      <c r="B201" s="70">
        <v>136000</v>
      </c>
      <c r="C201" s="71">
        <v>136000</v>
      </c>
      <c r="D201" s="72">
        <v>136000</v>
      </c>
      <c r="E201" s="255">
        <v>136000</v>
      </c>
      <c r="F201" s="255">
        <v>136000</v>
      </c>
      <c r="G201" s="349">
        <v>136000</v>
      </c>
      <c r="H201" s="94"/>
      <c r="I201" s="77"/>
    </row>
    <row r="202" spans="1:9" s="101" customFormat="1">
      <c r="A202" s="60" t="s">
        <v>387</v>
      </c>
      <c r="B202" s="70">
        <f>5956+3527959</f>
        <v>3533915</v>
      </c>
      <c r="C202" s="71">
        <f>18735+3066610</f>
        <v>3085345</v>
      </c>
      <c r="D202" s="72">
        <f>C202+D199</f>
        <v>3351671</v>
      </c>
      <c r="E202" s="73">
        <f>C202+E199</f>
        <v>3105971.5599999996</v>
      </c>
      <c r="F202" s="73">
        <f>C202+F199</f>
        <v>2748351.1233333331</v>
      </c>
      <c r="G202" s="350">
        <f>D202+G199</f>
        <v>3566812.5300000003</v>
      </c>
      <c r="H202" s="94"/>
      <c r="I202" s="157" t="s">
        <v>408</v>
      </c>
    </row>
    <row r="203" spans="1:9" s="48" customFormat="1" ht="16" thickBot="1">
      <c r="A203" s="60" t="s">
        <v>386</v>
      </c>
      <c r="B203" s="256">
        <f>SUM(B201:B202)</f>
        <v>3669915</v>
      </c>
      <c r="C203" s="257">
        <f t="shared" ref="C203:G203" si="19">SUM(C201:C202)</f>
        <v>3221345</v>
      </c>
      <c r="D203" s="256">
        <f t="shared" si="19"/>
        <v>3487671</v>
      </c>
      <c r="E203" s="257">
        <f t="shared" si="19"/>
        <v>3241971.5599999996</v>
      </c>
      <c r="F203" s="257">
        <f t="shared" si="19"/>
        <v>2884351.1233333331</v>
      </c>
      <c r="G203" s="351">
        <f t="shared" si="19"/>
        <v>3702812.5300000003</v>
      </c>
      <c r="H203" s="247"/>
      <c r="I203" s="190"/>
    </row>
    <row r="204" spans="1:9" s="101" customFormat="1" ht="16" thickBot="1">
      <c r="A204" s="64"/>
      <c r="B204" s="92"/>
      <c r="C204" s="93"/>
      <c r="D204" s="252"/>
      <c r="E204" s="254"/>
      <c r="F204" s="254"/>
      <c r="G204" s="348"/>
      <c r="H204" s="94"/>
      <c r="I204" s="77"/>
    </row>
    <row r="205" spans="1:9">
      <c r="A205" s="317" t="s">
        <v>380</v>
      </c>
      <c r="B205" s="258"/>
      <c r="C205" s="259"/>
      <c r="D205" s="260"/>
      <c r="E205" s="261"/>
      <c r="F205" s="261"/>
      <c r="G205" s="352"/>
      <c r="H205" s="262"/>
      <c r="I205" s="263"/>
    </row>
    <row r="206" spans="1:9" s="265" customFormat="1">
      <c r="A206" s="264" t="s">
        <v>350</v>
      </c>
      <c r="B206" s="70"/>
      <c r="C206" s="71"/>
      <c r="D206" s="72">
        <v>201730</v>
      </c>
      <c r="E206" s="73"/>
      <c r="F206" s="73">
        <v>302595</v>
      </c>
      <c r="G206" s="350">
        <f>D206/8*12</f>
        <v>302595</v>
      </c>
      <c r="I206" s="318"/>
    </row>
    <row r="207" spans="1:9" s="265" customFormat="1">
      <c r="A207" s="264" t="s">
        <v>379</v>
      </c>
      <c r="B207" s="70"/>
      <c r="C207" s="71"/>
      <c r="D207" s="72">
        <v>236</v>
      </c>
      <c r="E207" s="73"/>
      <c r="F207" s="73">
        <v>293</v>
      </c>
      <c r="G207" s="350">
        <f>D207/8*12</f>
        <v>354</v>
      </c>
      <c r="I207" s="267"/>
    </row>
    <row r="208" spans="1:9" s="265" customFormat="1">
      <c r="A208" s="264" t="s">
        <v>400</v>
      </c>
      <c r="B208" s="70"/>
      <c r="C208" s="71"/>
      <c r="D208" s="72">
        <v>383141</v>
      </c>
      <c r="E208" s="73"/>
      <c r="F208" s="73">
        <v>383141</v>
      </c>
      <c r="G208" s="350">
        <f>F208</f>
        <v>383141</v>
      </c>
      <c r="I208" s="267" t="s">
        <v>410</v>
      </c>
    </row>
    <row r="209" spans="1:9" s="265" customFormat="1">
      <c r="A209" s="264" t="s">
        <v>376</v>
      </c>
      <c r="B209" s="70"/>
      <c r="C209" s="71"/>
      <c r="D209" s="72">
        <v>9</v>
      </c>
      <c r="E209" s="73"/>
      <c r="F209" s="73">
        <v>0</v>
      </c>
      <c r="G209" s="350">
        <f>D209/8*12</f>
        <v>13.5</v>
      </c>
      <c r="I209" s="266"/>
    </row>
    <row r="210" spans="1:9" s="265" customFormat="1">
      <c r="A210" s="264" t="s">
        <v>377</v>
      </c>
      <c r="B210" s="70"/>
      <c r="C210" s="71"/>
      <c r="D210" s="72">
        <v>79427</v>
      </c>
      <c r="E210" s="73"/>
      <c r="F210" s="73">
        <v>137259</v>
      </c>
      <c r="G210" s="350">
        <f>D210/8*12</f>
        <v>119140.5</v>
      </c>
      <c r="I210" s="267"/>
    </row>
    <row r="211" spans="1:9" s="265" customFormat="1">
      <c r="A211" s="264" t="s">
        <v>378</v>
      </c>
      <c r="B211" s="70"/>
      <c r="C211" s="71"/>
      <c r="D211" s="72">
        <v>97087</v>
      </c>
      <c r="E211" s="73"/>
      <c r="F211" s="73">
        <v>165336</v>
      </c>
      <c r="G211" s="350">
        <f>D211/8*12</f>
        <v>145630.5</v>
      </c>
      <c r="I211" s="267"/>
    </row>
    <row r="212" spans="1:9" s="265" customFormat="1" ht="16" thickBot="1">
      <c r="A212" s="264" t="s">
        <v>259</v>
      </c>
      <c r="B212" s="268">
        <f t="shared" ref="B212:C212" si="20">SUM(B206:B211)</f>
        <v>0</v>
      </c>
      <c r="C212" s="269">
        <f t="shared" si="20"/>
        <v>0</v>
      </c>
      <c r="D212" s="268">
        <f>D206+D207+D208-D209-D210-D211</f>
        <v>408584</v>
      </c>
      <c r="E212" s="269">
        <f t="shared" ref="E212:G212" si="21">E206+E207+E208-E209-E210-E211</f>
        <v>0</v>
      </c>
      <c r="F212" s="269">
        <f t="shared" si="21"/>
        <v>383434</v>
      </c>
      <c r="G212" s="353">
        <f t="shared" si="21"/>
        <v>421305.5</v>
      </c>
      <c r="I212" s="266"/>
    </row>
    <row r="213" spans="1:9" s="265" customFormat="1">
      <c r="A213" s="264"/>
      <c r="B213" s="70"/>
      <c r="C213" s="71"/>
      <c r="D213" s="72"/>
      <c r="E213" s="73"/>
      <c r="F213" s="73"/>
      <c r="G213" s="348"/>
      <c r="I213" s="267"/>
    </row>
    <row r="214" spans="1:9" s="265" customFormat="1">
      <c r="A214" s="264" t="s">
        <v>388</v>
      </c>
      <c r="B214" s="70">
        <f>25409</f>
        <v>25409</v>
      </c>
      <c r="C214" s="71">
        <f>25636</f>
        <v>25636</v>
      </c>
      <c r="D214" s="72">
        <f>C214</f>
        <v>25636</v>
      </c>
      <c r="E214" s="255">
        <f>D214</f>
        <v>25636</v>
      </c>
      <c r="F214" s="255">
        <f t="shared" ref="F214" si="22">E214</f>
        <v>25636</v>
      </c>
      <c r="G214" s="349">
        <f>25000</f>
        <v>25000</v>
      </c>
      <c r="I214" s="267" t="s">
        <v>409</v>
      </c>
    </row>
    <row r="215" spans="1:9" s="265" customFormat="1" ht="16" thickBot="1">
      <c r="A215" s="270"/>
      <c r="B215" s="271"/>
      <c r="C215" s="272"/>
      <c r="D215" s="273"/>
      <c r="E215" s="274"/>
      <c r="F215" s="275"/>
      <c r="G215" s="354"/>
      <c r="H215" s="276"/>
      <c r="I215" s="277"/>
    </row>
    <row r="216" spans="1:9" s="265" customFormat="1">
      <c r="A216" s="278"/>
      <c r="B216" s="279"/>
      <c r="C216" s="279"/>
      <c r="D216" s="280"/>
      <c r="E216" s="281"/>
      <c r="F216" s="282"/>
      <c r="G216" s="202"/>
      <c r="H216" s="48"/>
    </row>
    <row r="217" spans="1:9" s="265" customFormat="1">
      <c r="A217" s="283"/>
      <c r="B217" s="279"/>
      <c r="C217" s="279"/>
      <c r="D217" s="280"/>
      <c r="E217" s="281"/>
      <c r="F217" s="282"/>
      <c r="G217" s="202"/>
      <c r="H217" s="48"/>
    </row>
  </sheetData>
  <mergeCells count="1">
    <mergeCell ref="B1:E1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I217"/>
  <sheetViews>
    <sheetView zoomScaleNormal="100" workbookViewId="0">
      <pane ySplit="6" topLeftCell="A22" activePane="bottomLeft" state="frozen"/>
      <selection pane="bottomLeft" activeCell="G22" sqref="G22"/>
    </sheetView>
  </sheetViews>
  <sheetFormatPr baseColWidth="10" defaultColWidth="8.83203125" defaultRowHeight="15"/>
  <cols>
    <col min="1" max="1" width="52.83203125" style="284" customWidth="1"/>
    <col min="2" max="2" width="12.33203125" style="285" customWidth="1"/>
    <col min="3" max="3" width="13.6640625" style="285" customWidth="1"/>
    <col min="4" max="4" width="15.83203125" style="280" customWidth="1"/>
    <col min="5" max="5" width="15.1640625" style="286" customWidth="1"/>
    <col min="6" max="6" width="15.5" style="282" customWidth="1"/>
    <col min="7" max="7" width="14.6640625" style="202" customWidth="1"/>
    <col min="8" max="8" width="10.1640625" style="101" customWidth="1"/>
    <col min="9" max="9" width="70.6640625" style="76" customWidth="1"/>
    <col min="10" max="16384" width="8.83203125" style="76"/>
  </cols>
  <sheetData>
    <row r="1" spans="1:9" s="49" customFormat="1" ht="31" customHeight="1">
      <c r="A1" s="46" t="s">
        <v>76</v>
      </c>
      <c r="B1" s="357" t="s">
        <v>383</v>
      </c>
      <c r="C1" s="357"/>
      <c r="D1" s="357"/>
      <c r="E1" s="357"/>
      <c r="F1" s="47"/>
      <c r="G1" s="265"/>
      <c r="H1" s="46"/>
      <c r="I1" s="46"/>
    </row>
    <row r="2" spans="1:9" s="48" customFormat="1">
      <c r="A2" s="50"/>
      <c r="B2" s="50" t="s">
        <v>324</v>
      </c>
      <c r="C2" s="50"/>
      <c r="D2" s="51">
        <f>G2</f>
        <v>10280.08</v>
      </c>
      <c r="E2" s="52">
        <v>9800</v>
      </c>
      <c r="F2" s="52">
        <v>10200.75</v>
      </c>
      <c r="G2" s="319">
        <f>10280.08</f>
        <v>10280.08</v>
      </c>
    </row>
    <row r="3" spans="1:9" s="57" customFormat="1" ht="16">
      <c r="A3" s="53"/>
      <c r="B3" s="54" t="s">
        <v>325</v>
      </c>
      <c r="C3" s="54"/>
      <c r="D3" s="55">
        <v>399</v>
      </c>
      <c r="E3" s="56">
        <v>396</v>
      </c>
      <c r="F3" s="56">
        <v>399</v>
      </c>
      <c r="G3" s="320">
        <v>399</v>
      </c>
    </row>
    <row r="4" spans="1:9" s="57" customFormat="1" ht="16">
      <c r="A4" s="53"/>
      <c r="B4" s="54"/>
      <c r="C4" s="54"/>
      <c r="D4" s="58"/>
      <c r="E4" s="59"/>
      <c r="F4" s="59"/>
      <c r="G4" s="321"/>
    </row>
    <row r="5" spans="1:9" s="63" customFormat="1" ht="30">
      <c r="A5" s="60"/>
      <c r="B5" s="60"/>
      <c r="C5" s="60"/>
      <c r="D5" s="61">
        <v>0.75</v>
      </c>
      <c r="E5" s="62" t="s">
        <v>345</v>
      </c>
      <c r="F5" s="62" t="s">
        <v>345</v>
      </c>
      <c r="G5" s="322"/>
    </row>
    <row r="6" spans="1:9" s="69" customFormat="1" ht="48">
      <c r="A6" s="64" t="s">
        <v>0</v>
      </c>
      <c r="B6" s="65" t="s">
        <v>321</v>
      </c>
      <c r="C6" s="66" t="s">
        <v>349</v>
      </c>
      <c r="D6" s="67" t="s">
        <v>396</v>
      </c>
      <c r="E6" s="66" t="s">
        <v>348</v>
      </c>
      <c r="F6" s="66" t="s">
        <v>394</v>
      </c>
      <c r="G6" s="323" t="s">
        <v>420</v>
      </c>
      <c r="H6" s="68" t="s">
        <v>102</v>
      </c>
      <c r="I6" s="68" t="s">
        <v>250</v>
      </c>
    </row>
    <row r="7" spans="1:9" hidden="1">
      <c r="A7" s="64" t="s">
        <v>98</v>
      </c>
      <c r="B7" s="70">
        <v>58433</v>
      </c>
      <c r="C7" s="71">
        <v>62725.4</v>
      </c>
      <c r="D7" s="72">
        <v>16085</v>
      </c>
      <c r="E7" s="73">
        <v>48000</v>
      </c>
      <c r="F7" s="73">
        <v>16775</v>
      </c>
      <c r="G7" s="324">
        <v>20555</v>
      </c>
      <c r="H7" s="74" t="s">
        <v>77</v>
      </c>
      <c r="I7" s="75"/>
    </row>
    <row r="8" spans="1:9" hidden="1">
      <c r="A8" s="64" t="s">
        <v>1</v>
      </c>
      <c r="B8" s="70">
        <v>1528</v>
      </c>
      <c r="C8" s="71">
        <v>27986.53</v>
      </c>
      <c r="D8" s="72">
        <v>21540</v>
      </c>
      <c r="E8" s="73">
        <v>1200</v>
      </c>
      <c r="F8" s="73">
        <v>1200</v>
      </c>
      <c r="G8" s="324">
        <v>28440</v>
      </c>
      <c r="H8" s="74" t="s">
        <v>77</v>
      </c>
      <c r="I8" s="77"/>
    </row>
    <row r="9" spans="1:9" hidden="1">
      <c r="A9" s="64" t="s">
        <v>2</v>
      </c>
      <c r="B9" s="70">
        <v>11691</v>
      </c>
      <c r="C9" s="71">
        <v>19014.3</v>
      </c>
      <c r="D9" s="72">
        <v>21483</v>
      </c>
      <c r="E9" s="73">
        <v>10667</v>
      </c>
      <c r="F9" s="73">
        <v>25000</v>
      </c>
      <c r="G9" s="324">
        <v>22000</v>
      </c>
      <c r="H9" s="74" t="s">
        <v>77</v>
      </c>
      <c r="I9" s="77" t="s">
        <v>344</v>
      </c>
    </row>
    <row r="10" spans="1:9" hidden="1">
      <c r="A10" s="64" t="s">
        <v>3</v>
      </c>
      <c r="B10" s="70">
        <v>440</v>
      </c>
      <c r="C10" s="71">
        <v>240</v>
      </c>
      <c r="D10" s="72">
        <v>640</v>
      </c>
      <c r="E10" s="73">
        <v>120</v>
      </c>
      <c r="F10" s="73">
        <v>590</v>
      </c>
      <c r="G10" s="324">
        <v>640</v>
      </c>
      <c r="H10" s="74" t="s">
        <v>77</v>
      </c>
      <c r="I10" s="77" t="s">
        <v>251</v>
      </c>
    </row>
    <row r="11" spans="1:9" hidden="1">
      <c r="A11" s="64" t="s">
        <v>262</v>
      </c>
      <c r="B11" s="70">
        <v>303</v>
      </c>
      <c r="C11" s="71">
        <v>2042.9</v>
      </c>
      <c r="D11" s="72">
        <v>1822</v>
      </c>
      <c r="E11" s="73">
        <v>0</v>
      </c>
      <c r="F11" s="73">
        <v>1000</v>
      </c>
      <c r="G11" s="324">
        <v>1822</v>
      </c>
      <c r="H11" s="74" t="s">
        <v>77</v>
      </c>
      <c r="I11" s="77" t="s">
        <v>352</v>
      </c>
    </row>
    <row r="12" spans="1:9" hidden="1">
      <c r="A12" s="64" t="s">
        <v>263</v>
      </c>
      <c r="B12" s="78">
        <v>19146</v>
      </c>
      <c r="C12" s="79">
        <v>18863.87</v>
      </c>
      <c r="D12" s="72">
        <v>21318</v>
      </c>
      <c r="E12" s="73">
        <v>20000</v>
      </c>
      <c r="F12" s="73">
        <v>20000</v>
      </c>
      <c r="G12" s="324">
        <v>21318</v>
      </c>
      <c r="H12" s="74" t="s">
        <v>77</v>
      </c>
      <c r="I12" s="77" t="s">
        <v>395</v>
      </c>
    </row>
    <row r="13" spans="1:9" hidden="1">
      <c r="A13" s="64" t="s">
        <v>4</v>
      </c>
      <c r="B13" s="70">
        <v>487</v>
      </c>
      <c r="C13" s="71">
        <v>1160</v>
      </c>
      <c r="D13" s="72">
        <v>358</v>
      </c>
      <c r="E13" s="73">
        <v>100</v>
      </c>
      <c r="F13" s="73">
        <v>500</v>
      </c>
      <c r="G13" s="324">
        <v>358</v>
      </c>
      <c r="H13" s="74" t="s">
        <v>77</v>
      </c>
      <c r="I13" s="77" t="s">
        <v>252</v>
      </c>
    </row>
    <row r="14" spans="1:9" hidden="1">
      <c r="A14" s="64" t="s">
        <v>254</v>
      </c>
      <c r="B14" s="70">
        <v>0</v>
      </c>
      <c r="C14" s="71">
        <v>2997.35</v>
      </c>
      <c r="D14" s="72">
        <v>1111</v>
      </c>
      <c r="E14" s="73">
        <v>1500</v>
      </c>
      <c r="F14" s="73">
        <v>3000</v>
      </c>
      <c r="G14" s="324">
        <v>1100</v>
      </c>
      <c r="H14" s="74" t="s">
        <v>77</v>
      </c>
      <c r="I14" s="77" t="s">
        <v>255</v>
      </c>
    </row>
    <row r="15" spans="1:9" hidden="1">
      <c r="A15" s="64" t="s">
        <v>5</v>
      </c>
      <c r="B15" s="70">
        <v>841</v>
      </c>
      <c r="C15" s="71">
        <v>2955.15</v>
      </c>
      <c r="D15" s="72">
        <v>1536</v>
      </c>
      <c r="E15" s="73">
        <v>0</v>
      </c>
      <c r="F15" s="73">
        <v>1500</v>
      </c>
      <c r="G15" s="324">
        <v>1500</v>
      </c>
      <c r="H15" s="74" t="s">
        <v>77</v>
      </c>
      <c r="I15" s="77"/>
    </row>
    <row r="16" spans="1:9" hidden="1">
      <c r="A16" s="64" t="s">
        <v>253</v>
      </c>
      <c r="B16" s="70">
        <v>18285</v>
      </c>
      <c r="C16" s="71">
        <v>10207</v>
      </c>
      <c r="D16" s="72">
        <v>14047</v>
      </c>
      <c r="E16" s="73">
        <v>0</v>
      </c>
      <c r="F16" s="73">
        <v>24790</v>
      </c>
      <c r="G16" s="324">
        <v>17500</v>
      </c>
      <c r="H16" s="74" t="s">
        <v>77</v>
      </c>
      <c r="I16" s="77"/>
    </row>
    <row r="17" spans="1:9" hidden="1">
      <c r="A17" s="64" t="s">
        <v>6</v>
      </c>
      <c r="B17" s="70">
        <v>5245</v>
      </c>
      <c r="C17" s="71">
        <v>1920</v>
      </c>
      <c r="D17" s="72">
        <v>1540</v>
      </c>
      <c r="E17" s="73">
        <f>160*12</f>
        <v>1920</v>
      </c>
      <c r="F17" s="73">
        <v>1920</v>
      </c>
      <c r="G17" s="324">
        <v>2020</v>
      </c>
      <c r="H17" s="74" t="s">
        <v>77</v>
      </c>
      <c r="I17" s="77" t="s">
        <v>304</v>
      </c>
    </row>
    <row r="18" spans="1:9" hidden="1">
      <c r="A18" s="64" t="s">
        <v>7</v>
      </c>
      <c r="B18" s="70">
        <f>1146+24</f>
        <v>1170</v>
      </c>
      <c r="C18" s="71">
        <f>1279.72+276.57</f>
        <v>1556.29</v>
      </c>
      <c r="D18" s="72">
        <v>4130</v>
      </c>
      <c r="E18" s="73">
        <v>1000</v>
      </c>
      <c r="F18" s="73">
        <v>1000</v>
      </c>
      <c r="G18" s="324">
        <v>4130</v>
      </c>
      <c r="H18" s="74" t="s">
        <v>77</v>
      </c>
      <c r="I18" s="77"/>
    </row>
    <row r="19" spans="1:9" hidden="1">
      <c r="A19" s="64" t="s">
        <v>8</v>
      </c>
      <c r="B19" s="70">
        <v>2438</v>
      </c>
      <c r="C19" s="71">
        <v>45461.11</v>
      </c>
      <c r="D19" s="72">
        <v>5558</v>
      </c>
      <c r="E19" s="73">
        <v>0</v>
      </c>
      <c r="F19" s="73">
        <v>3000</v>
      </c>
      <c r="G19" s="324">
        <v>8800</v>
      </c>
      <c r="H19" s="74" t="s">
        <v>77</v>
      </c>
      <c r="I19" s="77" t="s">
        <v>351</v>
      </c>
    </row>
    <row r="20" spans="1:9" hidden="1">
      <c r="A20" s="64" t="s">
        <v>9</v>
      </c>
      <c r="B20" s="70">
        <f>0</f>
        <v>0</v>
      </c>
      <c r="C20" s="71">
        <v>0</v>
      </c>
      <c r="D20" s="72">
        <v>0</v>
      </c>
      <c r="E20" s="73">
        <v>1000</v>
      </c>
      <c r="F20" s="73">
        <v>1000</v>
      </c>
      <c r="G20" s="324">
        <v>0</v>
      </c>
      <c r="H20" s="74" t="s">
        <v>77</v>
      </c>
      <c r="I20" s="77"/>
    </row>
    <row r="21" spans="1:9" ht="16" hidden="1" thickBot="1">
      <c r="A21" s="80" t="s">
        <v>10</v>
      </c>
      <c r="B21" s="81">
        <f>73735</f>
        <v>73735</v>
      </c>
      <c r="C21" s="82">
        <v>196694.84</v>
      </c>
      <c r="D21" s="83">
        <v>135585</v>
      </c>
      <c r="E21" s="84">
        <v>117000</v>
      </c>
      <c r="F21" s="84">
        <v>234463</v>
      </c>
      <c r="G21" s="325">
        <v>235585</v>
      </c>
      <c r="H21" s="85" t="s">
        <v>77</v>
      </c>
      <c r="I21" s="86" t="s">
        <v>411</v>
      </c>
    </row>
    <row r="22" spans="1:9" s="91" customFormat="1">
      <c r="A22" s="87" t="s">
        <v>11</v>
      </c>
      <c r="B22" s="88">
        <f t="shared" ref="B22:E22" si="0">SUM(B7:B21)</f>
        <v>193742</v>
      </c>
      <c r="C22" s="89">
        <f t="shared" si="0"/>
        <v>393824.74</v>
      </c>
      <c r="D22" s="88">
        <f t="shared" si="0"/>
        <v>246753</v>
      </c>
      <c r="E22" s="89">
        <f t="shared" si="0"/>
        <v>202507</v>
      </c>
      <c r="F22" s="89">
        <v>335738</v>
      </c>
      <c r="G22" s="326">
        <f t="shared" ref="G22" si="1">SUM(G7:G21)</f>
        <v>365768</v>
      </c>
      <c r="H22" s="90"/>
      <c r="I22" s="90"/>
    </row>
    <row r="23" spans="1:9" hidden="1">
      <c r="A23" s="64" t="s">
        <v>12</v>
      </c>
      <c r="B23" s="92"/>
      <c r="C23" s="93"/>
      <c r="D23" s="72"/>
      <c r="E23" s="73"/>
      <c r="F23" s="73"/>
      <c r="G23" s="327"/>
      <c r="H23" s="94"/>
      <c r="I23" s="77"/>
    </row>
    <row r="24" spans="1:9" hidden="1">
      <c r="A24" s="95" t="s">
        <v>101</v>
      </c>
      <c r="B24" s="96">
        <v>37364</v>
      </c>
      <c r="C24" s="97">
        <v>100754</v>
      </c>
      <c r="D24" s="98">
        <v>0</v>
      </c>
      <c r="E24" s="99">
        <v>35000</v>
      </c>
      <c r="F24" s="99">
        <v>100000</v>
      </c>
      <c r="G24" s="328">
        <v>100000</v>
      </c>
      <c r="H24" s="74" t="s">
        <v>77</v>
      </c>
      <c r="I24" s="77" t="s">
        <v>341</v>
      </c>
    </row>
    <row r="25" spans="1:9" hidden="1">
      <c r="A25" s="100" t="s">
        <v>353</v>
      </c>
      <c r="B25" s="70">
        <v>0</v>
      </c>
      <c r="C25" s="71">
        <v>0</v>
      </c>
      <c r="D25" s="72">
        <v>82176</v>
      </c>
      <c r="E25" s="73">
        <v>0</v>
      </c>
      <c r="F25" s="73">
        <v>84564.533333333326</v>
      </c>
      <c r="G25" s="324">
        <v>99928</v>
      </c>
      <c r="H25" s="74" t="s">
        <v>77</v>
      </c>
      <c r="I25" s="77"/>
    </row>
    <row r="26" spans="1:9" s="101" customFormat="1" hidden="1">
      <c r="A26" s="64" t="s">
        <v>322</v>
      </c>
      <c r="B26" s="70">
        <v>9665</v>
      </c>
      <c r="C26" s="71">
        <v>10749.6</v>
      </c>
      <c r="D26" s="72">
        <v>7897</v>
      </c>
      <c r="E26" s="73">
        <v>12188</v>
      </c>
      <c r="F26" s="73">
        <v>12188</v>
      </c>
      <c r="G26" s="324">
        <v>7897</v>
      </c>
      <c r="H26" s="74" t="s">
        <v>77</v>
      </c>
      <c r="I26" s="77"/>
    </row>
    <row r="27" spans="1:9" hidden="1">
      <c r="A27" s="64" t="s">
        <v>13</v>
      </c>
      <c r="B27" s="70">
        <v>128321</v>
      </c>
      <c r="C27" s="71">
        <v>140229.57</v>
      </c>
      <c r="D27" s="72">
        <v>118144</v>
      </c>
      <c r="E27" s="73">
        <f>11566.63*12</f>
        <v>138799.56</v>
      </c>
      <c r="F27" s="73">
        <v>158780.04</v>
      </c>
      <c r="G27" s="324">
        <v>156897</v>
      </c>
      <c r="H27" s="74" t="s">
        <v>77</v>
      </c>
      <c r="I27" s="77" t="s">
        <v>260</v>
      </c>
    </row>
    <row r="28" spans="1:9" hidden="1">
      <c r="A28" s="64" t="s">
        <v>14</v>
      </c>
      <c r="B28" s="70">
        <v>192</v>
      </c>
      <c r="C28" s="71">
        <v>0</v>
      </c>
      <c r="D28" s="72">
        <v>0</v>
      </c>
      <c r="E28" s="73">
        <v>0</v>
      </c>
      <c r="F28" s="73">
        <v>0</v>
      </c>
      <c r="G28" s="324">
        <v>0</v>
      </c>
      <c r="H28" s="74" t="s">
        <v>77</v>
      </c>
      <c r="I28" s="77"/>
    </row>
    <row r="29" spans="1:9" hidden="1">
      <c r="A29" s="64" t="s">
        <v>15</v>
      </c>
      <c r="B29" s="70">
        <v>355</v>
      </c>
      <c r="C29" s="71">
        <v>335.82</v>
      </c>
      <c r="D29" s="72">
        <v>750</v>
      </c>
      <c r="E29" s="73">
        <v>548</v>
      </c>
      <c r="F29" s="73">
        <v>750</v>
      </c>
      <c r="G29" s="324">
        <v>750</v>
      </c>
      <c r="H29" s="74" t="s">
        <v>77</v>
      </c>
      <c r="I29" s="77" t="s">
        <v>347</v>
      </c>
    </row>
    <row r="30" spans="1:9" hidden="1">
      <c r="A30" s="64" t="s">
        <v>328</v>
      </c>
      <c r="B30" s="70">
        <v>14387</v>
      </c>
      <c r="C30" s="71">
        <v>318.14</v>
      </c>
      <c r="D30" s="72">
        <v>0</v>
      </c>
      <c r="E30" s="73">
        <v>0</v>
      </c>
      <c r="F30" s="73">
        <v>0</v>
      </c>
      <c r="G30" s="324">
        <v>0</v>
      </c>
      <c r="H30" s="74"/>
      <c r="I30" s="77"/>
    </row>
    <row r="31" spans="1:9" hidden="1">
      <c r="A31" s="64" t="s">
        <v>329</v>
      </c>
      <c r="B31" s="70">
        <v>61551</v>
      </c>
      <c r="C31" s="71">
        <v>1965.19</v>
      </c>
      <c r="D31" s="72">
        <v>2070</v>
      </c>
      <c r="E31" s="73">
        <v>0</v>
      </c>
      <c r="F31" s="73">
        <v>0</v>
      </c>
      <c r="G31" s="324">
        <v>2070</v>
      </c>
      <c r="H31" s="74"/>
      <c r="I31" s="77"/>
    </row>
    <row r="32" spans="1:9" ht="16" hidden="1" thickBot="1">
      <c r="A32" s="80" t="s">
        <v>16</v>
      </c>
      <c r="B32" s="81">
        <v>0</v>
      </c>
      <c r="C32" s="82">
        <v>0</v>
      </c>
      <c r="D32" s="83">
        <v>310</v>
      </c>
      <c r="E32" s="84">
        <v>250</v>
      </c>
      <c r="F32" s="84">
        <v>0</v>
      </c>
      <c r="G32" s="325">
        <v>310</v>
      </c>
      <c r="H32" s="85" t="s">
        <v>77</v>
      </c>
      <c r="I32" s="86"/>
    </row>
    <row r="33" spans="1:9" s="91" customFormat="1">
      <c r="A33" s="87" t="s">
        <v>17</v>
      </c>
      <c r="B33" s="88">
        <f>SUM(B24:B32)</f>
        <v>251835</v>
      </c>
      <c r="C33" s="89">
        <f t="shared" ref="C33:E33" si="2">SUM(C24:C32)</f>
        <v>254352.32000000004</v>
      </c>
      <c r="D33" s="88">
        <f t="shared" si="2"/>
        <v>211347</v>
      </c>
      <c r="E33" s="89">
        <f t="shared" si="2"/>
        <v>186785.56</v>
      </c>
      <c r="F33" s="89">
        <v>356282.57333333336</v>
      </c>
      <c r="G33" s="326">
        <f t="shared" ref="G33" si="3">SUM(G24:G32)</f>
        <v>367852</v>
      </c>
      <c r="H33" s="90"/>
      <c r="I33" s="90"/>
    </row>
    <row r="34" spans="1:9" hidden="1">
      <c r="A34" s="64" t="s">
        <v>18</v>
      </c>
      <c r="B34" s="92"/>
      <c r="C34" s="93"/>
      <c r="D34" s="72"/>
      <c r="E34" s="102"/>
      <c r="F34" s="73"/>
      <c r="G34" s="327"/>
      <c r="H34" s="94"/>
      <c r="I34" s="77"/>
    </row>
    <row r="35" spans="1:9" s="104" customFormat="1" hidden="1">
      <c r="A35" s="103" t="s">
        <v>264</v>
      </c>
      <c r="B35" s="70">
        <v>16885</v>
      </c>
      <c r="C35" s="71">
        <v>13508</v>
      </c>
      <c r="D35" s="72">
        <v>3377</v>
      </c>
      <c r="E35" s="73">
        <v>0</v>
      </c>
      <c r="F35" s="73">
        <v>3377</v>
      </c>
      <c r="G35" s="327">
        <v>3377</v>
      </c>
      <c r="H35" s="74" t="s">
        <v>77</v>
      </c>
      <c r="I35" s="77"/>
    </row>
    <row r="36" spans="1:9" s="101" customFormat="1" hidden="1">
      <c r="A36" s="103" t="s">
        <v>397</v>
      </c>
      <c r="B36" s="70">
        <v>0</v>
      </c>
      <c r="C36" s="71">
        <v>0</v>
      </c>
      <c r="D36" s="105">
        <v>74584</v>
      </c>
      <c r="E36" s="73">
        <v>0</v>
      </c>
      <c r="F36" s="73">
        <v>0</v>
      </c>
      <c r="G36" s="327">
        <v>90718.61</v>
      </c>
      <c r="H36" s="74" t="s">
        <v>77</v>
      </c>
      <c r="I36" s="77"/>
    </row>
    <row r="37" spans="1:9" s="104" customFormat="1" hidden="1">
      <c r="A37" s="103" t="s">
        <v>323</v>
      </c>
      <c r="B37" s="70">
        <v>9097</v>
      </c>
      <c r="C37" s="71">
        <v>8911.91</v>
      </c>
      <c r="D37" s="72">
        <v>9282</v>
      </c>
      <c r="E37" s="73">
        <v>5000</v>
      </c>
      <c r="F37" s="73">
        <v>5000</v>
      </c>
      <c r="G37" s="327">
        <v>9200</v>
      </c>
      <c r="H37" s="74" t="s">
        <v>77</v>
      </c>
      <c r="I37" s="77"/>
    </row>
    <row r="38" spans="1:9" s="104" customFormat="1" hidden="1">
      <c r="A38" s="103" t="s">
        <v>327</v>
      </c>
      <c r="B38" s="70">
        <v>64466</v>
      </c>
      <c r="C38" s="71">
        <v>0</v>
      </c>
      <c r="D38" s="72">
        <v>0</v>
      </c>
      <c r="E38" s="73">
        <v>0</v>
      </c>
      <c r="F38" s="73">
        <v>0</v>
      </c>
      <c r="G38" s="327">
        <v>0</v>
      </c>
      <c r="H38" s="74" t="s">
        <v>77</v>
      </c>
      <c r="I38" s="77"/>
    </row>
    <row r="39" spans="1:9" s="104" customFormat="1" ht="16" hidden="1" thickBot="1">
      <c r="A39" s="106" t="s">
        <v>326</v>
      </c>
      <c r="B39" s="81">
        <v>163243</v>
      </c>
      <c r="C39" s="82">
        <v>117688</v>
      </c>
      <c r="D39" s="83">
        <v>0</v>
      </c>
      <c r="E39" s="84">
        <v>0</v>
      </c>
      <c r="F39" s="84">
        <v>0</v>
      </c>
      <c r="G39" s="329">
        <v>0</v>
      </c>
      <c r="H39" s="85" t="s">
        <v>77</v>
      </c>
      <c r="I39" s="86"/>
    </row>
    <row r="40" spans="1:9" s="49" customFormat="1">
      <c r="A40" s="107" t="s">
        <v>19</v>
      </c>
      <c r="B40" s="108">
        <f>SUM(B35:B39)</f>
        <v>253691</v>
      </c>
      <c r="C40" s="109">
        <f t="shared" ref="C40:E40" si="4">SUM(C35:C39)</f>
        <v>140107.91</v>
      </c>
      <c r="D40" s="108">
        <f t="shared" si="4"/>
        <v>87243</v>
      </c>
      <c r="E40" s="109">
        <f t="shared" si="4"/>
        <v>5000</v>
      </c>
      <c r="F40" s="109">
        <v>8377</v>
      </c>
      <c r="G40" s="330">
        <f>SUM(G35:G39)</f>
        <v>103295.61</v>
      </c>
      <c r="H40" s="110"/>
      <c r="I40" s="110"/>
    </row>
    <row r="41" spans="1:9" hidden="1">
      <c r="A41" s="64" t="s">
        <v>20</v>
      </c>
      <c r="B41" s="92"/>
      <c r="C41" s="93"/>
      <c r="D41" s="72"/>
      <c r="E41" s="102"/>
      <c r="F41" s="73"/>
      <c r="G41" s="327"/>
      <c r="H41" s="94"/>
      <c r="I41" s="77"/>
    </row>
    <row r="42" spans="1:9" ht="16" hidden="1" thickBot="1">
      <c r="A42" s="80" t="s">
        <v>21</v>
      </c>
      <c r="B42" s="81">
        <v>3386619</v>
      </c>
      <c r="C42" s="82">
        <v>3657198.62</v>
      </c>
      <c r="D42" s="83">
        <v>3076314</v>
      </c>
      <c r="E42" s="84">
        <v>3801600</v>
      </c>
      <c r="F42" s="84">
        <v>4070099.25</v>
      </c>
      <c r="G42" s="331">
        <f t="shared" ref="G42" si="5">G2*G3</f>
        <v>4101751.92</v>
      </c>
      <c r="H42" s="85" t="s">
        <v>77</v>
      </c>
      <c r="I42" s="86"/>
    </row>
    <row r="43" spans="1:9" s="49" customFormat="1" ht="16" thickBot="1">
      <c r="A43" s="111" t="s">
        <v>22</v>
      </c>
      <c r="B43" s="112">
        <f t="shared" ref="B43:E43" si="6">SUM(B42)</f>
        <v>3386619</v>
      </c>
      <c r="C43" s="113">
        <f t="shared" si="6"/>
        <v>3657198.62</v>
      </c>
      <c r="D43" s="112">
        <f t="shared" si="6"/>
        <v>3076314</v>
      </c>
      <c r="E43" s="113">
        <f t="shared" si="6"/>
        <v>3801600</v>
      </c>
      <c r="F43" s="113">
        <v>4070099.25</v>
      </c>
      <c r="G43" s="332">
        <f>SUM(G42)</f>
        <v>4101751.92</v>
      </c>
      <c r="H43" s="114"/>
      <c r="I43" s="115"/>
    </row>
    <row r="44" spans="1:9" s="49" customFormat="1" ht="17" thickBot="1">
      <c r="A44" s="116" t="s">
        <v>23</v>
      </c>
      <c r="B44" s="117">
        <f>B22+B33+B40+B43</f>
        <v>4085887</v>
      </c>
      <c r="C44" s="118">
        <f t="shared" ref="C44" si="7">C22+C33+C40+C43</f>
        <v>4445483.59</v>
      </c>
      <c r="D44" s="117">
        <f>D22+D33+D40+D43</f>
        <v>3621657</v>
      </c>
      <c r="E44" s="118">
        <f t="shared" ref="E44:G44" si="8">E22+E33+E40+E43</f>
        <v>4195892.5599999996</v>
      </c>
      <c r="F44" s="118">
        <f t="shared" si="8"/>
        <v>4770496.8233333332</v>
      </c>
      <c r="G44" s="333">
        <f t="shared" si="8"/>
        <v>4938667.53</v>
      </c>
      <c r="H44" s="119"/>
      <c r="I44" s="119"/>
    </row>
    <row r="45" spans="1:9">
      <c r="A45" s="64"/>
      <c r="B45" s="92"/>
      <c r="C45" s="93"/>
      <c r="D45" s="120"/>
      <c r="E45" s="121"/>
      <c r="F45" s="122"/>
      <c r="G45" s="327"/>
      <c r="H45" s="94"/>
      <c r="I45" s="77"/>
    </row>
    <row r="46" spans="1:9">
      <c r="A46" s="241" t="s">
        <v>24</v>
      </c>
      <c r="B46" s="92"/>
      <c r="C46" s="93"/>
      <c r="D46" s="120"/>
      <c r="E46" s="121"/>
      <c r="F46" s="122"/>
      <c r="G46" s="327"/>
      <c r="H46" s="94"/>
      <c r="I46" s="77"/>
    </row>
    <row r="47" spans="1:9" hidden="1">
      <c r="A47" s="123" t="s">
        <v>94</v>
      </c>
      <c r="B47" s="92"/>
      <c r="C47" s="93"/>
      <c r="D47" s="120"/>
      <c r="E47" s="121"/>
      <c r="F47" s="122"/>
      <c r="G47" s="327"/>
      <c r="H47" s="94"/>
      <c r="I47" s="77"/>
    </row>
    <row r="48" spans="1:9" s="131" customFormat="1" hidden="1">
      <c r="A48" s="124" t="s">
        <v>25</v>
      </c>
      <c r="B48" s="125">
        <v>258860</v>
      </c>
      <c r="C48" s="126">
        <v>272632.27</v>
      </c>
      <c r="D48" s="127">
        <v>228938</v>
      </c>
      <c r="E48" s="128">
        <v>285495</v>
      </c>
      <c r="F48" s="128">
        <v>305250</v>
      </c>
      <c r="G48" s="334">
        <f>305250</f>
        <v>305250</v>
      </c>
      <c r="H48" s="129" t="s">
        <v>81</v>
      </c>
      <c r="I48" s="130"/>
    </row>
    <row r="49" spans="1:9" s="131" customFormat="1" hidden="1">
      <c r="A49" s="132" t="s">
        <v>88</v>
      </c>
      <c r="B49" s="133">
        <v>0</v>
      </c>
      <c r="C49" s="134">
        <v>0</v>
      </c>
      <c r="D49" s="135">
        <v>0</v>
      </c>
      <c r="E49" s="136">
        <v>0</v>
      </c>
      <c r="F49" s="136">
        <v>66096</v>
      </c>
      <c r="G49" s="335">
        <v>0</v>
      </c>
      <c r="H49" s="129" t="s">
        <v>78</v>
      </c>
      <c r="I49" s="130"/>
    </row>
    <row r="50" spans="1:9" s="131" customFormat="1" hidden="1">
      <c r="A50" s="132" t="s">
        <v>89</v>
      </c>
      <c r="B50" s="133">
        <v>1030151</v>
      </c>
      <c r="C50" s="134">
        <v>1101785.47</v>
      </c>
      <c r="D50" s="135">
        <f>970079</f>
        <v>970079</v>
      </c>
      <c r="E50" s="136">
        <v>1193480</v>
      </c>
      <c r="F50" s="136">
        <v>651051.42999999993</v>
      </c>
      <c r="G50" s="335">
        <v>1288541</v>
      </c>
      <c r="H50" s="129" t="s">
        <v>79</v>
      </c>
      <c r="I50" s="130" t="s">
        <v>412</v>
      </c>
    </row>
    <row r="51" spans="1:9" s="131" customFormat="1" hidden="1">
      <c r="A51" s="132" t="s">
        <v>90</v>
      </c>
      <c r="B51" s="133">
        <v>0</v>
      </c>
      <c r="C51" s="134">
        <v>0</v>
      </c>
      <c r="D51" s="135">
        <v>0</v>
      </c>
      <c r="E51" s="136">
        <v>0</v>
      </c>
      <c r="F51" s="136">
        <v>358820</v>
      </c>
      <c r="G51" s="335">
        <v>0</v>
      </c>
      <c r="H51" s="129" t="s">
        <v>84</v>
      </c>
      <c r="I51" s="130"/>
    </row>
    <row r="52" spans="1:9" s="131" customFormat="1" hidden="1">
      <c r="A52" s="132" t="s">
        <v>91</v>
      </c>
      <c r="B52" s="133">
        <v>0</v>
      </c>
      <c r="C52" s="134">
        <v>0</v>
      </c>
      <c r="D52" s="135">
        <v>0</v>
      </c>
      <c r="E52" s="136">
        <v>0</v>
      </c>
      <c r="F52" s="136">
        <v>228864</v>
      </c>
      <c r="G52" s="335">
        <v>0</v>
      </c>
      <c r="H52" s="129" t="s">
        <v>80</v>
      </c>
      <c r="I52" s="130"/>
    </row>
    <row r="53" spans="1:9" s="131" customFormat="1" hidden="1">
      <c r="A53" s="124" t="s">
        <v>257</v>
      </c>
      <c r="B53" s="125">
        <v>238480</v>
      </c>
      <c r="C53" s="126">
        <v>238419.04</v>
      </c>
      <c r="D53" s="127">
        <v>186219</v>
      </c>
      <c r="E53" s="128">
        <v>527414</v>
      </c>
      <c r="F53" s="128">
        <v>263014</v>
      </c>
      <c r="G53" s="334">
        <v>244223</v>
      </c>
      <c r="H53" s="129" t="s">
        <v>85</v>
      </c>
      <c r="I53" s="130"/>
    </row>
    <row r="54" spans="1:9" s="138" customFormat="1" hidden="1">
      <c r="A54" s="137" t="s">
        <v>333</v>
      </c>
      <c r="B54" s="125">
        <v>0</v>
      </c>
      <c r="C54" s="126">
        <v>0</v>
      </c>
      <c r="D54" s="127">
        <v>53278</v>
      </c>
      <c r="E54" s="128">
        <v>0</v>
      </c>
      <c r="F54" s="128">
        <v>143090</v>
      </c>
      <c r="G54" s="334">
        <v>65301</v>
      </c>
      <c r="H54" s="129" t="s">
        <v>332</v>
      </c>
      <c r="I54" s="130"/>
    </row>
    <row r="55" spans="1:9" s="138" customFormat="1" hidden="1">
      <c r="A55" s="139" t="s">
        <v>398</v>
      </c>
      <c r="B55" s="125">
        <v>0</v>
      </c>
      <c r="C55" s="126">
        <v>0</v>
      </c>
      <c r="D55" s="127">
        <v>1422</v>
      </c>
      <c r="E55" s="140">
        <v>0</v>
      </c>
      <c r="F55" s="128">
        <v>0</v>
      </c>
      <c r="G55" s="334">
        <v>4266</v>
      </c>
      <c r="H55" s="74">
        <v>2140</v>
      </c>
      <c r="I55" s="130"/>
    </row>
    <row r="56" spans="1:9" s="138" customFormat="1" hidden="1">
      <c r="A56" s="137" t="s">
        <v>334</v>
      </c>
      <c r="B56" s="125">
        <v>0</v>
      </c>
      <c r="C56" s="126">
        <v>0</v>
      </c>
      <c r="D56" s="127">
        <v>27373</v>
      </c>
      <c r="E56" s="128"/>
      <c r="F56" s="128">
        <v>66294</v>
      </c>
      <c r="G56" s="334">
        <v>38422</v>
      </c>
      <c r="H56" s="129">
        <v>2150</v>
      </c>
      <c r="I56" s="130"/>
    </row>
    <row r="57" spans="1:9" s="131" customFormat="1" hidden="1">
      <c r="A57" s="124" t="s">
        <v>256</v>
      </c>
      <c r="B57" s="125">
        <v>12622</v>
      </c>
      <c r="C57" s="126">
        <v>8044.47</v>
      </c>
      <c r="D57" s="127">
        <v>12328</v>
      </c>
      <c r="E57" s="128">
        <v>7950</v>
      </c>
      <c r="F57" s="128">
        <v>9000</v>
      </c>
      <c r="G57" s="334">
        <v>16376</v>
      </c>
      <c r="H57" s="129" t="s">
        <v>109</v>
      </c>
      <c r="I57" s="130"/>
    </row>
    <row r="58" spans="1:9" s="131" customFormat="1" hidden="1">
      <c r="A58" s="124" t="s">
        <v>96</v>
      </c>
      <c r="B58" s="125">
        <v>15726</v>
      </c>
      <c r="C58" s="126">
        <v>23171.94</v>
      </c>
      <c r="D58" s="127">
        <v>18800</v>
      </c>
      <c r="E58" s="128">
        <v>21000</v>
      </c>
      <c r="F58" s="128">
        <v>25000</v>
      </c>
      <c r="G58" s="334">
        <v>24382</v>
      </c>
      <c r="H58" s="129" t="s">
        <v>85</v>
      </c>
      <c r="I58" s="130"/>
    </row>
    <row r="59" spans="1:9" s="131" customFormat="1" hidden="1">
      <c r="A59" s="124" t="s">
        <v>26</v>
      </c>
      <c r="B59" s="125">
        <v>20218</v>
      </c>
      <c r="C59" s="126">
        <v>40597</v>
      </c>
      <c r="D59" s="127">
        <v>38724</v>
      </c>
      <c r="E59" s="128">
        <v>45823</v>
      </c>
      <c r="F59" s="128">
        <v>17700</v>
      </c>
      <c r="G59" s="334">
        <v>63953</v>
      </c>
      <c r="H59" s="129" t="s">
        <v>85</v>
      </c>
      <c r="I59" s="130"/>
    </row>
    <row r="60" spans="1:9" s="131" customFormat="1" hidden="1">
      <c r="A60" s="124" t="s">
        <v>399</v>
      </c>
      <c r="B60" s="125">
        <v>0</v>
      </c>
      <c r="C60" s="126">
        <v>0</v>
      </c>
      <c r="D60" s="127">
        <v>39267</v>
      </c>
      <c r="E60" s="140"/>
      <c r="F60" s="128"/>
      <c r="G60" s="334">
        <v>64067</v>
      </c>
      <c r="H60" s="74">
        <v>1700</v>
      </c>
      <c r="I60" s="130"/>
    </row>
    <row r="61" spans="1:9" s="131" customFormat="1" hidden="1">
      <c r="A61" s="124" t="s">
        <v>27</v>
      </c>
      <c r="B61" s="125">
        <v>66163</v>
      </c>
      <c r="C61" s="126">
        <v>69310.350000000006</v>
      </c>
      <c r="D61" s="127">
        <v>57750</v>
      </c>
      <c r="E61" s="128">
        <v>72870</v>
      </c>
      <c r="F61" s="128">
        <v>77000</v>
      </c>
      <c r="G61" s="334">
        <v>77000</v>
      </c>
      <c r="H61" s="129" t="s">
        <v>81</v>
      </c>
      <c r="I61" s="130"/>
    </row>
    <row r="62" spans="1:9" s="131" customFormat="1" ht="16" hidden="1" thickBot="1">
      <c r="A62" s="141" t="s">
        <v>28</v>
      </c>
      <c r="B62" s="142">
        <v>44063</v>
      </c>
      <c r="C62" s="143">
        <v>27775.040000000001</v>
      </c>
      <c r="D62" s="144">
        <v>21974</v>
      </c>
      <c r="E62" s="145">
        <v>29005</v>
      </c>
      <c r="F62" s="145">
        <v>29300</v>
      </c>
      <c r="G62" s="336">
        <v>29300</v>
      </c>
      <c r="H62" s="146" t="s">
        <v>82</v>
      </c>
      <c r="I62" s="147"/>
    </row>
    <row r="63" spans="1:9" s="49" customFormat="1">
      <c r="A63" s="107" t="s">
        <v>93</v>
      </c>
      <c r="B63" s="108">
        <f t="shared" ref="B63:G63" si="9">SUM(B48:B62)</f>
        <v>1686283</v>
      </c>
      <c r="C63" s="109">
        <f t="shared" si="9"/>
        <v>1781735.58</v>
      </c>
      <c r="D63" s="108">
        <f t="shared" si="9"/>
        <v>1656152</v>
      </c>
      <c r="E63" s="109">
        <f t="shared" si="9"/>
        <v>2183037</v>
      </c>
      <c r="F63" s="109">
        <f t="shared" si="9"/>
        <v>2240479.4299999997</v>
      </c>
      <c r="G63" s="355">
        <f t="shared" si="9"/>
        <v>2221081</v>
      </c>
      <c r="H63" s="110"/>
      <c r="I63" s="110"/>
    </row>
    <row r="64" spans="1:9" hidden="1">
      <c r="A64" s="123" t="s">
        <v>92</v>
      </c>
      <c r="B64" s="92"/>
      <c r="C64" s="93"/>
      <c r="D64" s="120"/>
      <c r="E64" s="121"/>
      <c r="F64" s="122"/>
      <c r="G64" s="327"/>
      <c r="H64" s="94"/>
      <c r="I64" s="77"/>
    </row>
    <row r="65" spans="1:9" hidden="1">
      <c r="A65" s="137" t="s">
        <v>281</v>
      </c>
      <c r="B65" s="125">
        <v>1739</v>
      </c>
      <c r="C65" s="126">
        <v>1394.02</v>
      </c>
      <c r="D65" s="127">
        <v>1006</v>
      </c>
      <c r="E65" s="128">
        <v>1165</v>
      </c>
      <c r="F65" s="128">
        <v>1112.52</v>
      </c>
      <c r="G65" s="334">
        <v>1416</v>
      </c>
      <c r="H65" s="129" t="s">
        <v>81</v>
      </c>
      <c r="I65" s="130"/>
    </row>
    <row r="66" spans="1:9" hidden="1">
      <c r="A66" s="137" t="s">
        <v>335</v>
      </c>
      <c r="B66" s="125">
        <v>4092</v>
      </c>
      <c r="C66" s="126">
        <v>6778.09</v>
      </c>
      <c r="D66" s="127">
        <v>5760</v>
      </c>
      <c r="E66" s="128">
        <v>6491</v>
      </c>
      <c r="F66" s="128">
        <v>7986.84</v>
      </c>
      <c r="G66" s="334">
        <v>7424</v>
      </c>
      <c r="H66" s="129" t="s">
        <v>85</v>
      </c>
      <c r="I66" s="130"/>
    </row>
    <row r="67" spans="1:9" s="101" customFormat="1" hidden="1">
      <c r="A67" s="137" t="s">
        <v>337</v>
      </c>
      <c r="B67" s="125">
        <v>0</v>
      </c>
      <c r="C67" s="126">
        <v>0</v>
      </c>
      <c r="D67" s="127">
        <v>454</v>
      </c>
      <c r="E67" s="128">
        <v>0</v>
      </c>
      <c r="F67" s="128">
        <v>780.83999999999992</v>
      </c>
      <c r="G67" s="334">
        <v>526</v>
      </c>
      <c r="H67" s="129" t="s">
        <v>332</v>
      </c>
      <c r="I67" s="130"/>
    </row>
    <row r="68" spans="1:9" hidden="1">
      <c r="A68" s="137" t="s">
        <v>282</v>
      </c>
      <c r="B68" s="125">
        <v>183</v>
      </c>
      <c r="C68" s="126">
        <v>1048.04</v>
      </c>
      <c r="D68" s="127">
        <v>1019</v>
      </c>
      <c r="E68" s="128">
        <v>4014</v>
      </c>
      <c r="F68" s="128">
        <v>1566.36</v>
      </c>
      <c r="G68" s="334">
        <v>1285</v>
      </c>
      <c r="H68" s="129" t="s">
        <v>85</v>
      </c>
      <c r="I68" s="130"/>
    </row>
    <row r="69" spans="1:9" s="49" customFormat="1" hidden="1">
      <c r="A69" s="137" t="s">
        <v>355</v>
      </c>
      <c r="B69" s="125">
        <v>0</v>
      </c>
      <c r="C69" s="126">
        <v>0</v>
      </c>
      <c r="D69" s="127">
        <v>134</v>
      </c>
      <c r="E69" s="140">
        <v>0</v>
      </c>
      <c r="F69" s="128">
        <v>360</v>
      </c>
      <c r="G69" s="334">
        <v>195</v>
      </c>
      <c r="H69" s="129">
        <v>2150</v>
      </c>
      <c r="I69" s="148" t="s">
        <v>354</v>
      </c>
    </row>
    <row r="70" spans="1:9" hidden="1">
      <c r="A70" s="137" t="s">
        <v>283</v>
      </c>
      <c r="B70" s="125">
        <v>0</v>
      </c>
      <c r="C70" s="126">
        <v>1278.48</v>
      </c>
      <c r="D70" s="127">
        <v>85</v>
      </c>
      <c r="E70" s="128">
        <v>0</v>
      </c>
      <c r="F70" s="128">
        <v>0</v>
      </c>
      <c r="G70" s="334">
        <v>138</v>
      </c>
      <c r="H70" s="129" t="s">
        <v>85</v>
      </c>
      <c r="I70" s="130"/>
    </row>
    <row r="71" spans="1:9" hidden="1">
      <c r="A71" s="137" t="s">
        <v>401</v>
      </c>
      <c r="B71" s="125">
        <v>0</v>
      </c>
      <c r="C71" s="126">
        <v>0</v>
      </c>
      <c r="D71" s="127">
        <v>172</v>
      </c>
      <c r="E71" s="140">
        <v>0</v>
      </c>
      <c r="F71" s="128">
        <v>0</v>
      </c>
      <c r="G71" s="334">
        <v>331</v>
      </c>
      <c r="H71" s="74">
        <v>1700</v>
      </c>
      <c r="I71" s="130"/>
    </row>
    <row r="72" spans="1:9" hidden="1">
      <c r="A72" s="137" t="s">
        <v>284</v>
      </c>
      <c r="B72" s="125">
        <v>75</v>
      </c>
      <c r="C72" s="126">
        <v>773.51</v>
      </c>
      <c r="D72" s="127">
        <v>403</v>
      </c>
      <c r="E72" s="128">
        <v>485</v>
      </c>
      <c r="F72" s="128">
        <v>538.68000000000006</v>
      </c>
      <c r="G72" s="334">
        <v>524</v>
      </c>
      <c r="H72" s="129" t="s">
        <v>81</v>
      </c>
      <c r="I72" s="130"/>
    </row>
    <row r="73" spans="1:9" hidden="1">
      <c r="A73" s="149" t="s">
        <v>285</v>
      </c>
      <c r="B73" s="150">
        <v>29</v>
      </c>
      <c r="C73" s="151">
        <v>310.81</v>
      </c>
      <c r="D73" s="152">
        <v>165</v>
      </c>
      <c r="E73" s="153">
        <v>205</v>
      </c>
      <c r="F73" s="153">
        <v>220.67999999999998</v>
      </c>
      <c r="G73" s="338">
        <v>214</v>
      </c>
      <c r="H73" s="154" t="s">
        <v>82</v>
      </c>
      <c r="I73" s="155">
        <f>SUBTOTAL(109,F65:F73)</f>
        <v>0</v>
      </c>
    </row>
    <row r="74" spans="1:9" hidden="1">
      <c r="A74" s="137" t="s">
        <v>280</v>
      </c>
      <c r="B74" s="125">
        <v>7967</v>
      </c>
      <c r="C74" s="126">
        <v>4184.84</v>
      </c>
      <c r="D74" s="127">
        <v>7179</v>
      </c>
      <c r="E74" s="128">
        <v>4711</v>
      </c>
      <c r="F74" s="128">
        <v>4426.13</v>
      </c>
      <c r="G74" s="334">
        <v>8588</v>
      </c>
      <c r="H74" s="129" t="s">
        <v>81</v>
      </c>
      <c r="I74" s="156">
        <v>1.4500000000000001E-2</v>
      </c>
    </row>
    <row r="75" spans="1:9" hidden="1">
      <c r="A75" s="137" t="s">
        <v>279</v>
      </c>
      <c r="B75" s="125">
        <v>16718</v>
      </c>
      <c r="C75" s="126">
        <v>15265.97</v>
      </c>
      <c r="D75" s="127">
        <v>13022</v>
      </c>
      <c r="E75" s="128">
        <v>19692</v>
      </c>
      <c r="F75" s="128">
        <v>18920.059999999998</v>
      </c>
      <c r="G75" s="334">
        <v>18026</v>
      </c>
      <c r="H75" s="129" t="s">
        <v>85</v>
      </c>
      <c r="I75" s="130"/>
    </row>
    <row r="76" spans="1:9" s="158" customFormat="1" hidden="1">
      <c r="A76" s="137" t="s">
        <v>336</v>
      </c>
      <c r="B76" s="125">
        <v>0</v>
      </c>
      <c r="C76" s="126">
        <v>0</v>
      </c>
      <c r="D76" s="127">
        <v>942</v>
      </c>
      <c r="E76" s="128">
        <v>0</v>
      </c>
      <c r="F76" s="128">
        <v>2074.81</v>
      </c>
      <c r="G76" s="334">
        <v>1051</v>
      </c>
      <c r="H76" s="129">
        <v>1700</v>
      </c>
      <c r="I76" s="157"/>
    </row>
    <row r="77" spans="1:9" hidden="1">
      <c r="A77" s="159" t="s">
        <v>278</v>
      </c>
      <c r="B77" s="160">
        <v>3975</v>
      </c>
      <c r="C77" s="161">
        <v>3191.37</v>
      </c>
      <c r="D77" s="127">
        <v>2623</v>
      </c>
      <c r="E77" s="128">
        <v>8702</v>
      </c>
      <c r="F77" s="128">
        <v>3813.71</v>
      </c>
      <c r="G77" s="334">
        <v>3677</v>
      </c>
      <c r="H77" s="129" t="s">
        <v>85</v>
      </c>
      <c r="I77" s="130"/>
    </row>
    <row r="78" spans="1:9" hidden="1">
      <c r="A78" s="159" t="s">
        <v>402</v>
      </c>
      <c r="B78" s="160">
        <v>0</v>
      </c>
      <c r="C78" s="161">
        <v>0</v>
      </c>
      <c r="D78" s="127">
        <v>21</v>
      </c>
      <c r="E78" s="140">
        <v>0</v>
      </c>
      <c r="F78" s="128">
        <v>0</v>
      </c>
      <c r="G78" s="334">
        <v>62</v>
      </c>
      <c r="H78" s="74">
        <v>2140</v>
      </c>
      <c r="I78" s="130"/>
    </row>
    <row r="79" spans="1:9" hidden="1">
      <c r="A79" s="159" t="s">
        <v>357</v>
      </c>
      <c r="B79" s="160">
        <v>0</v>
      </c>
      <c r="C79" s="161">
        <v>0</v>
      </c>
      <c r="D79" s="127">
        <v>384</v>
      </c>
      <c r="E79" s="128">
        <v>0</v>
      </c>
      <c r="F79" s="128">
        <v>7600.5599999999995</v>
      </c>
      <c r="G79" s="334">
        <v>534</v>
      </c>
      <c r="H79" s="129">
        <v>2150</v>
      </c>
      <c r="I79" s="148" t="s">
        <v>354</v>
      </c>
    </row>
    <row r="80" spans="1:9" hidden="1">
      <c r="A80" s="159" t="s">
        <v>265</v>
      </c>
      <c r="B80" s="160">
        <v>137</v>
      </c>
      <c r="C80" s="161">
        <v>153.19</v>
      </c>
      <c r="D80" s="127">
        <v>284</v>
      </c>
      <c r="E80" s="128">
        <v>131</v>
      </c>
      <c r="F80" s="128">
        <v>130.5</v>
      </c>
      <c r="G80" s="334">
        <v>458</v>
      </c>
      <c r="H80" s="129" t="s">
        <v>109</v>
      </c>
      <c r="I80" s="130"/>
    </row>
    <row r="81" spans="1:9" hidden="1">
      <c r="A81" s="137" t="s">
        <v>277</v>
      </c>
      <c r="B81" s="125">
        <v>305</v>
      </c>
      <c r="C81" s="126">
        <v>485.6</v>
      </c>
      <c r="D81" s="127">
        <v>295</v>
      </c>
      <c r="E81" s="128">
        <v>347</v>
      </c>
      <c r="F81" s="128">
        <v>362.5</v>
      </c>
      <c r="G81" s="334">
        <v>412</v>
      </c>
      <c r="H81" s="129" t="s">
        <v>85</v>
      </c>
      <c r="I81" s="130"/>
    </row>
    <row r="82" spans="1:9" hidden="1">
      <c r="A82" s="137" t="s">
        <v>266</v>
      </c>
      <c r="B82" s="125">
        <v>345</v>
      </c>
      <c r="C82" s="126">
        <v>2269.08</v>
      </c>
      <c r="D82" s="127">
        <v>635</v>
      </c>
      <c r="E82" s="128">
        <v>756</v>
      </c>
      <c r="F82" s="128">
        <v>256.64999999999998</v>
      </c>
      <c r="G82" s="334">
        <v>1012</v>
      </c>
      <c r="H82" s="129" t="s">
        <v>85</v>
      </c>
      <c r="I82" s="130"/>
    </row>
    <row r="83" spans="1:9" hidden="1">
      <c r="A83" s="137" t="s">
        <v>403</v>
      </c>
      <c r="B83" s="125">
        <v>0</v>
      </c>
      <c r="C83" s="126">
        <v>0</v>
      </c>
      <c r="D83" s="127">
        <v>516</v>
      </c>
      <c r="E83" s="140">
        <v>0</v>
      </c>
      <c r="F83" s="128">
        <v>0</v>
      </c>
      <c r="G83" s="334">
        <v>984</v>
      </c>
      <c r="H83" s="74">
        <v>1700</v>
      </c>
      <c r="I83" s="130"/>
    </row>
    <row r="84" spans="1:9" hidden="1">
      <c r="A84" s="137" t="s">
        <v>267</v>
      </c>
      <c r="B84" s="125">
        <v>1179</v>
      </c>
      <c r="C84" s="126">
        <v>1138.8599999999999</v>
      </c>
      <c r="D84" s="127">
        <v>709</v>
      </c>
      <c r="E84" s="128">
        <v>1202</v>
      </c>
      <c r="F84" s="128">
        <v>1116.5</v>
      </c>
      <c r="G84" s="334">
        <v>772</v>
      </c>
      <c r="H84" s="129" t="s">
        <v>81</v>
      </c>
      <c r="I84" s="130"/>
    </row>
    <row r="85" spans="1:9" hidden="1">
      <c r="A85" s="149" t="s">
        <v>268</v>
      </c>
      <c r="B85" s="150">
        <v>702</v>
      </c>
      <c r="C85" s="151">
        <v>434.51</v>
      </c>
      <c r="D85" s="152">
        <v>312</v>
      </c>
      <c r="E85" s="153">
        <v>479</v>
      </c>
      <c r="F85" s="153">
        <v>424.85</v>
      </c>
      <c r="G85" s="338">
        <v>464</v>
      </c>
      <c r="H85" s="154" t="s">
        <v>82</v>
      </c>
      <c r="I85" s="155">
        <f>SUBTOTAL(109,F74:G85)</f>
        <v>0</v>
      </c>
    </row>
    <row r="86" spans="1:9" s="131" customFormat="1" hidden="1">
      <c r="A86" s="162" t="s">
        <v>269</v>
      </c>
      <c r="B86" s="125">
        <v>51619</v>
      </c>
      <c r="C86" s="126">
        <v>57632.36</v>
      </c>
      <c r="D86" s="127">
        <v>34872</v>
      </c>
      <c r="E86" s="128">
        <v>61096</v>
      </c>
      <c r="F86" s="128">
        <v>65323.5</v>
      </c>
      <c r="G86" s="334">
        <v>50869</v>
      </c>
      <c r="H86" s="129" t="s">
        <v>81</v>
      </c>
      <c r="I86" s="163">
        <v>0.214</v>
      </c>
    </row>
    <row r="87" spans="1:9" s="131" customFormat="1" hidden="1">
      <c r="A87" s="162" t="s">
        <v>270</v>
      </c>
      <c r="B87" s="125">
        <v>211301</v>
      </c>
      <c r="C87" s="126">
        <v>217598.24</v>
      </c>
      <c r="D87" s="127">
        <v>204381</v>
      </c>
      <c r="E87" s="128">
        <v>255405</v>
      </c>
      <c r="F87" s="128">
        <v>279233.94</v>
      </c>
      <c r="G87" s="334">
        <v>272322</v>
      </c>
      <c r="H87" s="129" t="s">
        <v>85</v>
      </c>
      <c r="I87" s="130"/>
    </row>
    <row r="88" spans="1:9" s="164" customFormat="1" hidden="1">
      <c r="A88" s="162" t="s">
        <v>338</v>
      </c>
      <c r="B88" s="125">
        <v>0</v>
      </c>
      <c r="C88" s="126">
        <v>0</v>
      </c>
      <c r="D88" s="127">
        <v>15295</v>
      </c>
      <c r="E88" s="128">
        <v>0</v>
      </c>
      <c r="F88" s="128">
        <v>30621.260000000002</v>
      </c>
      <c r="G88" s="334">
        <v>17868</v>
      </c>
      <c r="H88" s="129">
        <v>1700</v>
      </c>
      <c r="I88" s="157"/>
    </row>
    <row r="89" spans="1:9" s="131" customFormat="1" hidden="1">
      <c r="A89" s="162" t="s">
        <v>271</v>
      </c>
      <c r="B89" s="125">
        <v>49940</v>
      </c>
      <c r="C89" s="126">
        <v>39460.019999999997</v>
      </c>
      <c r="D89" s="127">
        <v>34759</v>
      </c>
      <c r="E89" s="128">
        <v>112867</v>
      </c>
      <c r="F89" s="128">
        <v>56284.99</v>
      </c>
      <c r="G89" s="334">
        <v>45429</v>
      </c>
      <c r="H89" s="129" t="s">
        <v>85</v>
      </c>
      <c r="I89" s="130"/>
    </row>
    <row r="90" spans="1:9" s="131" customFormat="1" hidden="1">
      <c r="A90" s="162" t="s">
        <v>358</v>
      </c>
      <c r="B90" s="125">
        <v>0</v>
      </c>
      <c r="C90" s="126">
        <v>0</v>
      </c>
      <c r="D90" s="127">
        <v>5813</v>
      </c>
      <c r="E90" s="128">
        <v>0</v>
      </c>
      <c r="F90" s="128">
        <v>14186.92</v>
      </c>
      <c r="G90" s="334">
        <v>8139</v>
      </c>
      <c r="H90" s="129">
        <v>2150</v>
      </c>
      <c r="I90" s="148" t="s">
        <v>354</v>
      </c>
    </row>
    <row r="91" spans="1:9" s="131" customFormat="1" hidden="1">
      <c r="A91" s="162" t="s">
        <v>272</v>
      </c>
      <c r="B91" s="125">
        <v>2696</v>
      </c>
      <c r="C91" s="126">
        <v>2716.4</v>
      </c>
      <c r="D91" s="127">
        <v>1711</v>
      </c>
      <c r="E91" s="128">
        <v>1701</v>
      </c>
      <c r="F91" s="128">
        <v>1926</v>
      </c>
      <c r="G91" s="334">
        <v>2249</v>
      </c>
      <c r="H91" s="129">
        <v>3100</v>
      </c>
      <c r="I91" s="130"/>
    </row>
    <row r="92" spans="1:9" s="131" customFormat="1" hidden="1">
      <c r="A92" s="162" t="s">
        <v>273</v>
      </c>
      <c r="B92" s="125">
        <v>3160</v>
      </c>
      <c r="C92" s="126">
        <v>4624.04</v>
      </c>
      <c r="D92" s="127">
        <v>4923</v>
      </c>
      <c r="E92" s="128">
        <v>4494</v>
      </c>
      <c r="F92" s="128">
        <v>5350</v>
      </c>
      <c r="G92" s="334">
        <v>6431</v>
      </c>
      <c r="H92" s="129">
        <v>2100</v>
      </c>
      <c r="I92" s="130"/>
    </row>
    <row r="93" spans="1:9" s="131" customFormat="1" hidden="1">
      <c r="A93" s="162" t="s">
        <v>274</v>
      </c>
      <c r="B93" s="125">
        <v>3994</v>
      </c>
      <c r="C93" s="126">
        <v>35738.68</v>
      </c>
      <c r="D93" s="127">
        <v>10534</v>
      </c>
      <c r="E93" s="128">
        <v>9806</v>
      </c>
      <c r="F93" s="128">
        <v>3787.8</v>
      </c>
      <c r="G93" s="334">
        <v>17618</v>
      </c>
      <c r="H93" s="129" t="s">
        <v>85</v>
      </c>
      <c r="I93" s="130"/>
    </row>
    <row r="94" spans="1:9" s="131" customFormat="1" hidden="1">
      <c r="A94" s="162" t="s">
        <v>404</v>
      </c>
      <c r="B94" s="125">
        <v>0</v>
      </c>
      <c r="C94" s="126">
        <v>0</v>
      </c>
      <c r="D94" s="127">
        <v>7076</v>
      </c>
      <c r="E94" s="140">
        <v>0</v>
      </c>
      <c r="F94" s="128">
        <v>0</v>
      </c>
      <c r="G94" s="334">
        <v>12383</v>
      </c>
      <c r="H94" s="74">
        <v>1700</v>
      </c>
      <c r="I94" s="130"/>
    </row>
    <row r="95" spans="1:9" s="131" customFormat="1" hidden="1">
      <c r="A95" s="162" t="s">
        <v>275</v>
      </c>
      <c r="B95" s="125">
        <v>14225</v>
      </c>
      <c r="C95" s="126">
        <v>15064.8</v>
      </c>
      <c r="D95" s="127">
        <v>12328</v>
      </c>
      <c r="E95" s="128">
        <v>15594</v>
      </c>
      <c r="F95" s="128">
        <v>16478</v>
      </c>
      <c r="G95" s="334">
        <v>16442</v>
      </c>
      <c r="H95" s="129" t="s">
        <v>81</v>
      </c>
      <c r="I95" s="130"/>
    </row>
    <row r="96" spans="1:9" s="131" customFormat="1" hidden="1">
      <c r="A96" s="165" t="s">
        <v>276</v>
      </c>
      <c r="B96" s="150">
        <v>9219</v>
      </c>
      <c r="C96" s="151">
        <v>5931.28</v>
      </c>
      <c r="D96" s="152">
        <v>4693</v>
      </c>
      <c r="E96" s="153">
        <v>6207</v>
      </c>
      <c r="F96" s="153">
        <v>6270.2</v>
      </c>
      <c r="G96" s="338">
        <v>6259</v>
      </c>
      <c r="H96" s="154" t="s">
        <v>82</v>
      </c>
      <c r="I96" s="155">
        <f>SUM(F86:F96)</f>
        <v>479462.61</v>
      </c>
    </row>
    <row r="97" spans="1:9" hidden="1">
      <c r="A97" s="166" t="s">
        <v>360</v>
      </c>
      <c r="B97" s="78">
        <v>17317</v>
      </c>
      <c r="C97" s="79">
        <v>20492.64</v>
      </c>
      <c r="D97" s="127">
        <v>16000</v>
      </c>
      <c r="E97" s="122">
        <v>19653</v>
      </c>
      <c r="F97" s="122">
        <v>21280.799999999999</v>
      </c>
      <c r="G97" s="327">
        <v>21316</v>
      </c>
      <c r="H97" s="74" t="s">
        <v>81</v>
      </c>
      <c r="I97" s="77"/>
    </row>
    <row r="98" spans="1:9" hidden="1">
      <c r="A98" s="166" t="s">
        <v>361</v>
      </c>
      <c r="B98" s="78">
        <v>117900</v>
      </c>
      <c r="C98" s="79">
        <v>120319.52</v>
      </c>
      <c r="D98" s="127">
        <v>106727</v>
      </c>
      <c r="E98" s="122">
        <v>126725</v>
      </c>
      <c r="F98" s="122">
        <v>149171.75999999998</v>
      </c>
      <c r="G98" s="327">
        <v>140193</v>
      </c>
      <c r="H98" s="74" t="s">
        <v>85</v>
      </c>
      <c r="I98" s="77"/>
    </row>
    <row r="99" spans="1:9" s="158" customFormat="1" hidden="1">
      <c r="A99" s="166" t="s">
        <v>359</v>
      </c>
      <c r="B99" s="78">
        <v>0</v>
      </c>
      <c r="C99" s="79">
        <v>0</v>
      </c>
      <c r="D99" s="127">
        <v>7843</v>
      </c>
      <c r="E99" s="122">
        <v>0</v>
      </c>
      <c r="F99" s="122">
        <v>7084.5599999999995</v>
      </c>
      <c r="G99" s="327">
        <v>9614</v>
      </c>
      <c r="H99" s="74">
        <v>1700</v>
      </c>
      <c r="I99" s="167"/>
    </row>
    <row r="100" spans="1:9" hidden="1">
      <c r="A100" s="166" t="s">
        <v>364</v>
      </c>
      <c r="B100" s="78">
        <v>23849</v>
      </c>
      <c r="C100" s="79">
        <v>26234.71</v>
      </c>
      <c r="D100" s="127">
        <v>16290</v>
      </c>
      <c r="E100" s="122">
        <v>79437</v>
      </c>
      <c r="F100" s="122">
        <v>29308.32</v>
      </c>
      <c r="G100" s="327">
        <v>21715</v>
      </c>
      <c r="H100" s="74" t="s">
        <v>85</v>
      </c>
      <c r="I100" s="77"/>
    </row>
    <row r="101" spans="1:9" hidden="1">
      <c r="A101" s="166" t="s">
        <v>365</v>
      </c>
      <c r="B101" s="78">
        <v>0</v>
      </c>
      <c r="C101" s="79">
        <v>0</v>
      </c>
      <c r="D101" s="127">
        <v>1921</v>
      </c>
      <c r="E101" s="122">
        <v>0</v>
      </c>
      <c r="F101" s="122">
        <v>7600.5599999999995</v>
      </c>
      <c r="G101" s="327">
        <v>3186</v>
      </c>
      <c r="H101" s="74">
        <v>2150</v>
      </c>
      <c r="I101" s="168" t="s">
        <v>354</v>
      </c>
    </row>
    <row r="102" spans="1:9" hidden="1">
      <c r="A102" s="166" t="s">
        <v>405</v>
      </c>
      <c r="B102" s="78">
        <v>0</v>
      </c>
      <c r="C102" s="79">
        <v>0</v>
      </c>
      <c r="D102" s="127">
        <v>1896</v>
      </c>
      <c r="E102" s="121"/>
      <c r="F102" s="122"/>
      <c r="G102" s="327">
        <v>3791</v>
      </c>
      <c r="H102" s="74">
        <v>1700</v>
      </c>
      <c r="I102" s="77"/>
    </row>
    <row r="103" spans="1:9" hidden="1">
      <c r="A103" s="166" t="s">
        <v>362</v>
      </c>
      <c r="B103" s="78">
        <v>2091</v>
      </c>
      <c r="C103" s="79">
        <v>7509.41</v>
      </c>
      <c r="D103" s="127">
        <v>5711</v>
      </c>
      <c r="E103" s="122">
        <v>6384</v>
      </c>
      <c r="F103" s="122">
        <v>8140.5599999999995</v>
      </c>
      <c r="G103" s="327">
        <v>7609</v>
      </c>
      <c r="H103" s="74" t="s">
        <v>81</v>
      </c>
      <c r="I103" s="77"/>
    </row>
    <row r="104" spans="1:9" hidden="1">
      <c r="A104" s="166" t="s">
        <v>363</v>
      </c>
      <c r="B104" s="78">
        <v>0</v>
      </c>
      <c r="C104" s="79">
        <v>0</v>
      </c>
      <c r="D104" s="127">
        <v>37</v>
      </c>
      <c r="E104" s="122">
        <v>0</v>
      </c>
      <c r="F104" s="122">
        <v>65.039999999999992</v>
      </c>
      <c r="G104" s="327">
        <v>54</v>
      </c>
      <c r="H104" s="74" t="s">
        <v>82</v>
      </c>
      <c r="I104" s="77">
        <f>SUM(F97:F104)</f>
        <v>222651.59999999998</v>
      </c>
    </row>
    <row r="105" spans="1:9" ht="16" hidden="1" thickBot="1">
      <c r="A105" s="166" t="s">
        <v>100</v>
      </c>
      <c r="B105" s="78">
        <v>37364</v>
      </c>
      <c r="C105" s="79">
        <v>100754</v>
      </c>
      <c r="D105" s="127">
        <v>0</v>
      </c>
      <c r="E105" s="122">
        <f>E24</f>
        <v>35000</v>
      </c>
      <c r="F105" s="122">
        <v>100000</v>
      </c>
      <c r="G105" s="327">
        <v>100000</v>
      </c>
      <c r="H105" s="74" t="s">
        <v>81</v>
      </c>
      <c r="I105" s="77" t="s">
        <v>341</v>
      </c>
    </row>
    <row r="106" spans="1:9" hidden="1">
      <c r="A106" s="169" t="s">
        <v>287</v>
      </c>
      <c r="B106" s="170">
        <v>28572</v>
      </c>
      <c r="C106" s="171">
        <f>28300+2100</f>
        <v>30400</v>
      </c>
      <c r="D106" s="172">
        <v>15500</v>
      </c>
      <c r="E106" s="173">
        <v>0</v>
      </c>
      <c r="F106" s="171">
        <v>15000</v>
      </c>
      <c r="G106" s="339">
        <v>32500</v>
      </c>
      <c r="H106" s="174" t="s">
        <v>81</v>
      </c>
      <c r="I106" s="175" t="s">
        <v>419</v>
      </c>
    </row>
    <row r="107" spans="1:9" hidden="1">
      <c r="A107" s="176" t="s">
        <v>342</v>
      </c>
      <c r="B107" s="78">
        <v>161717</v>
      </c>
      <c r="C107" s="79">
        <v>182250</v>
      </c>
      <c r="D107" s="127">
        <v>113500</v>
      </c>
      <c r="E107" s="121">
        <v>0</v>
      </c>
      <c r="F107" s="122">
        <v>117500</v>
      </c>
      <c r="G107" s="327">
        <v>229166</v>
      </c>
      <c r="H107" s="74" t="s">
        <v>85</v>
      </c>
      <c r="I107" s="177" t="s">
        <v>414</v>
      </c>
    </row>
    <row r="108" spans="1:9" s="104" customFormat="1" hidden="1">
      <c r="A108" s="176" t="s">
        <v>339</v>
      </c>
      <c r="B108" s="78">
        <v>0</v>
      </c>
      <c r="C108" s="79">
        <v>0</v>
      </c>
      <c r="D108" s="127">
        <v>16000</v>
      </c>
      <c r="E108" s="121">
        <v>0</v>
      </c>
      <c r="F108" s="122">
        <v>22500</v>
      </c>
      <c r="G108" s="327">
        <f>38000</f>
        <v>38000</v>
      </c>
      <c r="H108" s="74">
        <v>1700</v>
      </c>
      <c r="I108" s="177" t="s">
        <v>413</v>
      </c>
    </row>
    <row r="109" spans="1:9" hidden="1">
      <c r="A109" s="176" t="s">
        <v>286</v>
      </c>
      <c r="B109" s="78">
        <v>34270</v>
      </c>
      <c r="C109" s="79">
        <v>30100</v>
      </c>
      <c r="D109" s="127">
        <v>15000</v>
      </c>
      <c r="E109" s="121">
        <v>0</v>
      </c>
      <c r="F109" s="122">
        <v>28000</v>
      </c>
      <c r="G109" s="327">
        <f>Table1[[#This Row],[FY24 Actuals through 3/31/24]]*2</f>
        <v>30000</v>
      </c>
      <c r="H109" s="74" t="s">
        <v>85</v>
      </c>
      <c r="I109" s="177" t="s">
        <v>413</v>
      </c>
    </row>
    <row r="110" spans="1:9" hidden="1">
      <c r="A110" s="178" t="s">
        <v>366</v>
      </c>
      <c r="B110" s="78">
        <v>0</v>
      </c>
      <c r="C110" s="79">
        <v>0</v>
      </c>
      <c r="D110" s="127">
        <v>2500</v>
      </c>
      <c r="E110" s="121">
        <v>0</v>
      </c>
      <c r="F110" s="122">
        <v>5000</v>
      </c>
      <c r="G110" s="327">
        <f>Table1[[#This Row],[FY24 Actuals through 3/31/24]]*2</f>
        <v>5000</v>
      </c>
      <c r="H110" s="74" t="s">
        <v>356</v>
      </c>
      <c r="I110" s="179" t="s">
        <v>415</v>
      </c>
    </row>
    <row r="111" spans="1:9" hidden="1">
      <c r="A111" s="176" t="s">
        <v>320</v>
      </c>
      <c r="B111" s="78">
        <v>500</v>
      </c>
      <c r="C111" s="79">
        <v>500</v>
      </c>
      <c r="D111" s="127">
        <v>4300</v>
      </c>
      <c r="E111" s="121">
        <v>0</v>
      </c>
      <c r="F111" s="122">
        <v>1000</v>
      </c>
      <c r="G111" s="327">
        <v>11400</v>
      </c>
      <c r="H111" s="74" t="s">
        <v>85</v>
      </c>
      <c r="I111" s="179" t="s">
        <v>416</v>
      </c>
    </row>
    <row r="112" spans="1:9" hidden="1">
      <c r="A112" s="176" t="s">
        <v>288</v>
      </c>
      <c r="B112" s="78">
        <v>2500</v>
      </c>
      <c r="C112" s="79">
        <v>8000</v>
      </c>
      <c r="D112" s="127">
        <v>3000</v>
      </c>
      <c r="E112" s="121">
        <v>0</v>
      </c>
      <c r="F112" s="122">
        <v>2500</v>
      </c>
      <c r="G112" s="327">
        <v>6500</v>
      </c>
      <c r="H112" s="74" t="s">
        <v>85</v>
      </c>
      <c r="I112" s="177" t="s">
        <v>416</v>
      </c>
    </row>
    <row r="113" spans="1:9" hidden="1">
      <c r="A113" s="176" t="s">
        <v>340</v>
      </c>
      <c r="B113" s="78">
        <v>8347</v>
      </c>
      <c r="C113" s="79">
        <v>8350</v>
      </c>
      <c r="D113" s="127">
        <v>18000</v>
      </c>
      <c r="E113" s="121">
        <v>0</v>
      </c>
      <c r="F113" s="122">
        <v>6500</v>
      </c>
      <c r="G113" s="327">
        <v>38500</v>
      </c>
      <c r="H113" s="74" t="s">
        <v>85</v>
      </c>
      <c r="I113" s="177" t="s">
        <v>413</v>
      </c>
    </row>
    <row r="114" spans="1:9" hidden="1">
      <c r="A114" s="176" t="s">
        <v>289</v>
      </c>
      <c r="B114" s="78">
        <v>14126</v>
      </c>
      <c r="C114" s="79">
        <v>15800</v>
      </c>
      <c r="D114" s="127">
        <v>10000</v>
      </c>
      <c r="E114" s="121">
        <v>0</v>
      </c>
      <c r="F114" s="122">
        <v>10000</v>
      </c>
      <c r="G114" s="327">
        <f>Table1[[#This Row],[FY24 Actuals through 3/31/24]]*2</f>
        <v>20000</v>
      </c>
      <c r="H114" s="74" t="s">
        <v>81</v>
      </c>
      <c r="I114" s="177" t="s">
        <v>413</v>
      </c>
    </row>
    <row r="115" spans="1:9" ht="16" hidden="1" thickBot="1">
      <c r="A115" s="180" t="s">
        <v>290</v>
      </c>
      <c r="B115" s="181">
        <v>4343</v>
      </c>
      <c r="C115" s="182">
        <v>3750</v>
      </c>
      <c r="D115" s="144">
        <v>2500</v>
      </c>
      <c r="E115" s="183">
        <v>0</v>
      </c>
      <c r="F115" s="184">
        <v>3000</v>
      </c>
      <c r="G115" s="329">
        <v>4000</v>
      </c>
      <c r="H115" s="85" t="s">
        <v>82</v>
      </c>
      <c r="I115" s="185" t="s">
        <v>417</v>
      </c>
    </row>
    <row r="116" spans="1:9" s="49" customFormat="1" ht="16">
      <c r="A116" s="186" t="s">
        <v>29</v>
      </c>
      <c r="B116" s="187">
        <f t="shared" ref="B116:G116" si="10">SUM(B65:B115)</f>
        <v>836496</v>
      </c>
      <c r="C116" s="188">
        <f t="shared" si="10"/>
        <v>971932.47</v>
      </c>
      <c r="D116" s="187">
        <f t="shared" si="10"/>
        <v>729230</v>
      </c>
      <c r="E116" s="188">
        <f t="shared" si="10"/>
        <v>782749</v>
      </c>
      <c r="F116" s="188">
        <f t="shared" si="10"/>
        <v>1064806.4000000001</v>
      </c>
      <c r="G116" s="340">
        <f t="shared" si="10"/>
        <v>1226646</v>
      </c>
      <c r="H116" s="189"/>
      <c r="I116" s="189"/>
    </row>
    <row r="117" spans="1:9" hidden="1">
      <c r="A117" s="64" t="s">
        <v>30</v>
      </c>
      <c r="B117" s="70">
        <f>7668</f>
        <v>7668</v>
      </c>
      <c r="C117" s="71">
        <v>750</v>
      </c>
      <c r="D117" s="72">
        <v>10818</v>
      </c>
      <c r="E117" s="73">
        <v>0</v>
      </c>
      <c r="F117" s="73">
        <v>1000</v>
      </c>
      <c r="G117" s="327">
        <v>12018</v>
      </c>
      <c r="H117" s="74" t="s">
        <v>81</v>
      </c>
      <c r="I117" s="77" t="s">
        <v>418</v>
      </c>
    </row>
    <row r="118" spans="1:9" hidden="1">
      <c r="A118" s="64" t="s">
        <v>31</v>
      </c>
      <c r="B118" s="70">
        <f>642+44+3655-2</f>
        <v>4339</v>
      </c>
      <c r="C118" s="71">
        <f>2527.32+60.01+1137.62</f>
        <v>3724.9500000000003</v>
      </c>
      <c r="D118" s="72">
        <v>2297</v>
      </c>
      <c r="E118" s="73">
        <v>1300</v>
      </c>
      <c r="F118" s="73">
        <v>4000</v>
      </c>
      <c r="G118" s="324">
        <v>3347</v>
      </c>
      <c r="H118" s="74" t="s">
        <v>86</v>
      </c>
      <c r="I118" s="190"/>
    </row>
    <row r="119" spans="1:9" hidden="1">
      <c r="A119" s="64" t="s">
        <v>99</v>
      </c>
      <c r="B119" s="70">
        <f>7050</f>
        <v>7050</v>
      </c>
      <c r="C119" s="71">
        <v>3500</v>
      </c>
      <c r="D119" s="72">
        <v>3300</v>
      </c>
      <c r="E119" s="73">
        <v>0</v>
      </c>
      <c r="F119" s="73">
        <v>3500</v>
      </c>
      <c r="G119" s="324">
        <v>3300</v>
      </c>
      <c r="H119" s="74" t="s">
        <v>103</v>
      </c>
      <c r="I119" s="77"/>
    </row>
    <row r="120" spans="1:9" hidden="1">
      <c r="A120" s="191" t="s">
        <v>32</v>
      </c>
      <c r="B120" s="192">
        <f>88544</f>
        <v>88544</v>
      </c>
      <c r="C120" s="193">
        <v>29598.99</v>
      </c>
      <c r="D120" s="194">
        <v>31022</v>
      </c>
      <c r="E120" s="195">
        <v>74560</v>
      </c>
      <c r="F120" s="195">
        <v>58250</v>
      </c>
      <c r="G120" s="341">
        <v>46022</v>
      </c>
      <c r="H120" s="74" t="s">
        <v>85</v>
      </c>
      <c r="I120" s="77" t="s">
        <v>291</v>
      </c>
    </row>
    <row r="121" spans="1:9" hidden="1">
      <c r="A121" s="64" t="s">
        <v>33</v>
      </c>
      <c r="B121" s="70">
        <f>4010</f>
        <v>4010</v>
      </c>
      <c r="C121" s="71">
        <v>3939</v>
      </c>
      <c r="D121" s="72">
        <v>2510</v>
      </c>
      <c r="E121" s="73">
        <v>7000</v>
      </c>
      <c r="F121" s="73">
        <v>7000</v>
      </c>
      <c r="G121" s="324">
        <v>4010</v>
      </c>
      <c r="H121" s="74" t="s">
        <v>104</v>
      </c>
      <c r="I121" s="77"/>
    </row>
    <row r="122" spans="1:9" hidden="1">
      <c r="A122" s="64" t="s">
        <v>34</v>
      </c>
      <c r="B122" s="70">
        <f>1300</f>
        <v>1300</v>
      </c>
      <c r="C122" s="71">
        <v>9400</v>
      </c>
      <c r="D122" s="72">
        <v>17550</v>
      </c>
      <c r="E122" s="73">
        <v>9000</v>
      </c>
      <c r="F122" s="73">
        <v>9500</v>
      </c>
      <c r="G122" s="324">
        <v>17550</v>
      </c>
      <c r="H122" s="74" t="s">
        <v>105</v>
      </c>
      <c r="I122" s="77"/>
    </row>
    <row r="123" spans="1:9" hidden="1">
      <c r="A123" s="196" t="s">
        <v>368</v>
      </c>
      <c r="B123" s="197">
        <v>0</v>
      </c>
      <c r="C123" s="198">
        <v>0</v>
      </c>
      <c r="D123" s="199">
        <v>16491</v>
      </c>
      <c r="E123" s="200">
        <v>0</v>
      </c>
      <c r="F123" s="200">
        <v>18000</v>
      </c>
      <c r="G123" s="342">
        <v>20891</v>
      </c>
      <c r="H123" s="74" t="s">
        <v>83</v>
      </c>
      <c r="I123" s="77" t="s">
        <v>389</v>
      </c>
    </row>
    <row r="124" spans="1:9" hidden="1">
      <c r="A124" s="196" t="s">
        <v>369</v>
      </c>
      <c r="B124" s="197">
        <v>0</v>
      </c>
      <c r="C124" s="198">
        <v>0</v>
      </c>
      <c r="D124" s="199">
        <v>21871</v>
      </c>
      <c r="E124" s="200">
        <v>0</v>
      </c>
      <c r="F124" s="200">
        <v>38640</v>
      </c>
      <c r="G124" s="342">
        <v>21871</v>
      </c>
      <c r="H124" s="74" t="s">
        <v>83</v>
      </c>
      <c r="I124" s="77" t="s">
        <v>390</v>
      </c>
    </row>
    <row r="125" spans="1:9" hidden="1">
      <c r="A125" s="201" t="s">
        <v>391</v>
      </c>
      <c r="B125" s="197">
        <v>0</v>
      </c>
      <c r="C125" s="198">
        <v>0</v>
      </c>
      <c r="D125" s="199">
        <v>0</v>
      </c>
      <c r="E125" s="200">
        <v>0</v>
      </c>
      <c r="F125" s="200">
        <v>68000</v>
      </c>
      <c r="G125" s="342">
        <v>0</v>
      </c>
      <c r="H125" s="74">
        <v>2100</v>
      </c>
      <c r="I125" s="77"/>
    </row>
    <row r="126" spans="1:9" hidden="1">
      <c r="A126" s="64" t="s">
        <v>35</v>
      </c>
      <c r="B126" s="70">
        <f>1375</f>
        <v>1375</v>
      </c>
      <c r="C126" s="71">
        <v>1750</v>
      </c>
      <c r="D126" s="72">
        <v>1000</v>
      </c>
      <c r="E126" s="73">
        <v>1500</v>
      </c>
      <c r="F126" s="73">
        <v>1750</v>
      </c>
      <c r="G126" s="324">
        <v>1250</v>
      </c>
      <c r="H126" s="74" t="s">
        <v>110</v>
      </c>
      <c r="I126" s="77" t="s">
        <v>381</v>
      </c>
    </row>
    <row r="127" spans="1:9" hidden="1">
      <c r="A127" s="64" t="s">
        <v>36</v>
      </c>
      <c r="B127" s="70">
        <f>2477</f>
        <v>2477</v>
      </c>
      <c r="C127" s="71">
        <v>3592.13</v>
      </c>
      <c r="D127" s="72">
        <v>3318</v>
      </c>
      <c r="E127" s="73">
        <v>2000</v>
      </c>
      <c r="F127" s="73">
        <v>3500</v>
      </c>
      <c r="G127" s="324">
        <v>3318</v>
      </c>
      <c r="H127" s="74" t="s">
        <v>106</v>
      </c>
      <c r="I127" s="77"/>
    </row>
    <row r="128" spans="1:9" hidden="1">
      <c r="A128" s="64" t="s">
        <v>37</v>
      </c>
      <c r="B128" s="70">
        <f>1719</f>
        <v>1719</v>
      </c>
      <c r="C128" s="71">
        <v>964.75</v>
      </c>
      <c r="D128" s="72">
        <v>850</v>
      </c>
      <c r="E128" s="73">
        <v>1300</v>
      </c>
      <c r="F128" s="73">
        <v>1300</v>
      </c>
      <c r="G128" s="324">
        <v>850</v>
      </c>
      <c r="H128" s="74" t="s">
        <v>86</v>
      </c>
      <c r="I128" s="77"/>
    </row>
    <row r="129" spans="1:9" hidden="1">
      <c r="A129" s="64" t="s">
        <v>38</v>
      </c>
      <c r="B129" s="70">
        <f>10641</f>
        <v>10641</v>
      </c>
      <c r="C129" s="71">
        <v>192.17</v>
      </c>
      <c r="D129" s="72">
        <v>4850</v>
      </c>
      <c r="E129" s="73">
        <v>8000</v>
      </c>
      <c r="F129" s="73">
        <v>8000</v>
      </c>
      <c r="G129" s="324">
        <v>4850</v>
      </c>
      <c r="H129" s="74" t="s">
        <v>107</v>
      </c>
      <c r="I129" s="190"/>
    </row>
    <row r="130" spans="1:9" s="101" customFormat="1" hidden="1">
      <c r="A130" s="64" t="s">
        <v>367</v>
      </c>
      <c r="B130" s="70">
        <v>0</v>
      </c>
      <c r="C130" s="71">
        <v>0</v>
      </c>
      <c r="D130" s="72">
        <v>0</v>
      </c>
      <c r="E130" s="73">
        <v>400</v>
      </c>
      <c r="F130" s="73">
        <v>0</v>
      </c>
      <c r="G130" s="324">
        <v>0</v>
      </c>
      <c r="H130" s="74">
        <v>2900</v>
      </c>
      <c r="I130" s="190"/>
    </row>
    <row r="131" spans="1:9" hidden="1">
      <c r="A131" s="64" t="s">
        <v>39</v>
      </c>
      <c r="B131" s="70">
        <f>21470</f>
        <v>21470</v>
      </c>
      <c r="C131" s="71">
        <v>41402</v>
      </c>
      <c r="D131" s="72">
        <v>33170</v>
      </c>
      <c r="E131" s="73">
        <v>25000</v>
      </c>
      <c r="F131" s="73">
        <v>43080</v>
      </c>
      <c r="G131" s="324">
        <f>43190+3000</f>
        <v>46190</v>
      </c>
      <c r="H131" s="74" t="s">
        <v>86</v>
      </c>
      <c r="I131" s="77" t="s">
        <v>382</v>
      </c>
    </row>
    <row r="132" spans="1:9" s="202" customFormat="1" hidden="1">
      <c r="A132" s="64" t="s">
        <v>40</v>
      </c>
      <c r="B132" s="70">
        <f>4500</f>
        <v>4500</v>
      </c>
      <c r="C132" s="71">
        <f>4500</f>
        <v>4500</v>
      </c>
      <c r="D132" s="72">
        <v>758</v>
      </c>
      <c r="E132" s="73">
        <v>1000</v>
      </c>
      <c r="F132" s="73">
        <v>4500</v>
      </c>
      <c r="G132" s="324">
        <v>758</v>
      </c>
      <c r="H132" s="74">
        <v>5000</v>
      </c>
      <c r="I132" s="190"/>
    </row>
    <row r="133" spans="1:9" s="101" customFormat="1" hidden="1">
      <c r="A133" s="64" t="s">
        <v>41</v>
      </c>
      <c r="B133" s="70">
        <f>9974+2275</f>
        <v>12249</v>
      </c>
      <c r="C133" s="71">
        <v>9168.81</v>
      </c>
      <c r="D133" s="72">
        <v>1968</v>
      </c>
      <c r="E133" s="73">
        <v>25000</v>
      </c>
      <c r="F133" s="73">
        <v>25000</v>
      </c>
      <c r="G133" s="324">
        <v>1968</v>
      </c>
      <c r="H133" s="74" t="s">
        <v>103</v>
      </c>
      <c r="I133" s="77" t="s">
        <v>406</v>
      </c>
    </row>
    <row r="134" spans="1:9" hidden="1">
      <c r="A134" s="64" t="s">
        <v>42</v>
      </c>
      <c r="B134" s="70">
        <v>0</v>
      </c>
      <c r="C134" s="71">
        <v>0</v>
      </c>
      <c r="D134" s="72">
        <v>200</v>
      </c>
      <c r="E134" s="73">
        <v>1400</v>
      </c>
      <c r="F134" s="73">
        <v>1400</v>
      </c>
      <c r="G134" s="324">
        <v>200</v>
      </c>
      <c r="H134" s="74" t="s">
        <v>81</v>
      </c>
      <c r="I134" s="77"/>
    </row>
    <row r="135" spans="1:9" hidden="1">
      <c r="A135" s="203" t="s">
        <v>43</v>
      </c>
      <c r="B135" s="204">
        <v>6017</v>
      </c>
      <c r="C135" s="205">
        <v>8312.2900000000009</v>
      </c>
      <c r="D135" s="135">
        <v>6075</v>
      </c>
      <c r="E135" s="206">
        <v>6000</v>
      </c>
      <c r="F135" s="206">
        <v>8120</v>
      </c>
      <c r="G135" s="343">
        <v>8100</v>
      </c>
      <c r="H135" s="74">
        <v>2300</v>
      </c>
      <c r="I135" s="207" t="s">
        <v>330</v>
      </c>
    </row>
    <row r="136" spans="1:9" ht="16" hidden="1" thickBot="1">
      <c r="A136" s="208" t="s">
        <v>44</v>
      </c>
      <c r="B136" s="209">
        <v>75426</v>
      </c>
      <c r="C136" s="210">
        <v>83817.350000000006</v>
      </c>
      <c r="D136" s="211">
        <v>63339</v>
      </c>
      <c r="E136" s="212">
        <v>100000</v>
      </c>
      <c r="F136" s="212">
        <v>84664</v>
      </c>
      <c r="G136" s="344">
        <v>84452</v>
      </c>
      <c r="H136" s="85" t="s">
        <v>108</v>
      </c>
      <c r="I136" s="213" t="s">
        <v>330</v>
      </c>
    </row>
    <row r="137" spans="1:9" s="49" customFormat="1" ht="16">
      <c r="A137" s="186" t="s">
        <v>45</v>
      </c>
      <c r="B137" s="187">
        <f>SUM(B117:B136)</f>
        <v>248785</v>
      </c>
      <c r="C137" s="188">
        <f>SUM(C117:C136)</f>
        <v>204612.44</v>
      </c>
      <c r="D137" s="187">
        <f>SUM(D117:D136)</f>
        <v>221387</v>
      </c>
      <c r="E137" s="188">
        <f>SUM(E117:E136)</f>
        <v>263460</v>
      </c>
      <c r="F137" s="188">
        <f t="shared" ref="F137:G137" si="11">SUM(F117:F136)</f>
        <v>389204</v>
      </c>
      <c r="G137" s="188">
        <f t="shared" si="11"/>
        <v>280945</v>
      </c>
      <c r="H137" s="189"/>
      <c r="I137" s="189"/>
    </row>
    <row r="138" spans="1:9" hidden="1">
      <c r="A138" s="64" t="s">
        <v>46</v>
      </c>
      <c r="B138" s="70"/>
      <c r="C138" s="71"/>
      <c r="D138" s="72"/>
      <c r="E138" s="102"/>
      <c r="F138" s="73"/>
      <c r="G138" s="327"/>
      <c r="H138" s="94"/>
      <c r="I138" s="77"/>
    </row>
    <row r="139" spans="1:9" hidden="1">
      <c r="A139" s="64" t="s">
        <v>47</v>
      </c>
      <c r="B139" s="70">
        <v>11865</v>
      </c>
      <c r="C139" s="71">
        <v>10000.719999999999</v>
      </c>
      <c r="D139" s="72">
        <v>13391</v>
      </c>
      <c r="E139" s="73">
        <v>6000</v>
      </c>
      <c r="F139" s="73">
        <v>10000</v>
      </c>
      <c r="G139" s="324">
        <v>16591</v>
      </c>
      <c r="H139" s="74" t="s">
        <v>82</v>
      </c>
      <c r="I139" s="190"/>
    </row>
    <row r="140" spans="1:9" hidden="1">
      <c r="A140" s="64" t="s">
        <v>48</v>
      </c>
      <c r="B140" s="70">
        <v>8814</v>
      </c>
      <c r="C140" s="71">
        <v>11775.19</v>
      </c>
      <c r="D140" s="72">
        <v>12799</v>
      </c>
      <c r="E140" s="73">
        <v>12000</v>
      </c>
      <c r="F140" s="73">
        <v>12000</v>
      </c>
      <c r="G140" s="324">
        <v>16549</v>
      </c>
      <c r="H140" s="74" t="s">
        <v>82</v>
      </c>
      <c r="I140" s="77"/>
    </row>
    <row r="141" spans="1:9" hidden="1">
      <c r="A141" s="64" t="s">
        <v>49</v>
      </c>
      <c r="B141" s="70">
        <v>3263</v>
      </c>
      <c r="C141" s="71">
        <v>11567.5</v>
      </c>
      <c r="D141" s="72">
        <v>10224</v>
      </c>
      <c r="E141" s="73">
        <v>20000</v>
      </c>
      <c r="F141" s="73">
        <v>15000</v>
      </c>
      <c r="G141" s="324">
        <v>12224</v>
      </c>
      <c r="H141" s="74" t="s">
        <v>82</v>
      </c>
      <c r="I141" s="77"/>
    </row>
    <row r="142" spans="1:9" hidden="1">
      <c r="A142" s="64" t="s">
        <v>343</v>
      </c>
      <c r="B142" s="70">
        <f>23211+6735</f>
        <v>29946</v>
      </c>
      <c r="C142" s="71">
        <f>34795.39+46.26</f>
        <v>34841.65</v>
      </c>
      <c r="D142" s="72">
        <f>42094+30</f>
        <v>42124</v>
      </c>
      <c r="E142" s="73">
        <v>28000</v>
      </c>
      <c r="F142" s="73">
        <v>35000</v>
      </c>
      <c r="G142" s="324">
        <f>57094+30</f>
        <v>57124</v>
      </c>
      <c r="H142" s="74" t="s">
        <v>82</v>
      </c>
      <c r="I142" s="77"/>
    </row>
    <row r="143" spans="1:9" s="202" customFormat="1" hidden="1">
      <c r="A143" s="64" t="s">
        <v>50</v>
      </c>
      <c r="B143" s="70">
        <v>296503</v>
      </c>
      <c r="C143" s="71">
        <v>302595.53999999998</v>
      </c>
      <c r="D143" s="72">
        <v>227197</v>
      </c>
      <c r="E143" s="73">
        <v>308000</v>
      </c>
      <c r="F143" s="73">
        <v>308000</v>
      </c>
      <c r="G143" s="324">
        <v>302845</v>
      </c>
      <c r="H143" s="74" t="s">
        <v>82</v>
      </c>
      <c r="I143" s="77" t="s">
        <v>261</v>
      </c>
    </row>
    <row r="144" spans="1:9" s="202" customFormat="1" ht="16" hidden="1" thickBot="1">
      <c r="A144" s="80" t="s">
        <v>258</v>
      </c>
      <c r="B144" s="81">
        <v>2604</v>
      </c>
      <c r="C144" s="82">
        <f>2604</f>
        <v>2604</v>
      </c>
      <c r="D144" s="83">
        <v>1993</v>
      </c>
      <c r="E144" s="84">
        <v>0</v>
      </c>
      <c r="F144" s="84">
        <v>2604</v>
      </c>
      <c r="G144" s="325">
        <v>2660</v>
      </c>
      <c r="H144" s="85">
        <v>2620</v>
      </c>
      <c r="I144" s="86"/>
    </row>
    <row r="145" spans="1:9" s="49" customFormat="1" ht="16">
      <c r="A145" s="186" t="s">
        <v>51</v>
      </c>
      <c r="B145" s="187">
        <f>SUM(B139:B144)</f>
        <v>352995</v>
      </c>
      <c r="C145" s="188">
        <f t="shared" ref="C145:G145" si="12">SUM(C139:C144)</f>
        <v>373384.6</v>
      </c>
      <c r="D145" s="187">
        <f t="shared" si="12"/>
        <v>307728</v>
      </c>
      <c r="E145" s="188">
        <f t="shared" si="12"/>
        <v>374000</v>
      </c>
      <c r="F145" s="188">
        <f t="shared" si="12"/>
        <v>382604</v>
      </c>
      <c r="G145" s="188">
        <f t="shared" si="12"/>
        <v>407993</v>
      </c>
      <c r="H145" s="189"/>
      <c r="I145" s="189"/>
    </row>
    <row r="146" spans="1:9" hidden="1">
      <c r="A146" s="64" t="s">
        <v>52</v>
      </c>
      <c r="B146" s="92"/>
      <c r="C146" s="93"/>
      <c r="D146" s="72"/>
      <c r="E146" s="102"/>
      <c r="F146" s="73"/>
      <c r="G146" s="327"/>
      <c r="H146" s="94"/>
      <c r="I146" s="77"/>
    </row>
    <row r="147" spans="1:9" hidden="1">
      <c r="A147" s="103" t="s">
        <v>292</v>
      </c>
      <c r="B147" s="78">
        <f>12298+12323</f>
        <v>24621</v>
      </c>
      <c r="C147" s="79">
        <v>52429.98</v>
      </c>
      <c r="D147" s="72">
        <v>59904</v>
      </c>
      <c r="E147" s="73">
        <v>35000</v>
      </c>
      <c r="F147" s="73">
        <v>55000</v>
      </c>
      <c r="G147" s="324">
        <v>60000</v>
      </c>
      <c r="H147" s="74">
        <v>2850</v>
      </c>
      <c r="I147" s="77" t="s">
        <v>315</v>
      </c>
    </row>
    <row r="148" spans="1:9" hidden="1">
      <c r="A148" s="103" t="s">
        <v>305</v>
      </c>
      <c r="B148" s="70">
        <f>5156</f>
        <v>5156</v>
      </c>
      <c r="C148" s="71">
        <v>9617.15</v>
      </c>
      <c r="D148" s="72">
        <v>0</v>
      </c>
      <c r="E148" s="73">
        <v>0</v>
      </c>
      <c r="F148" s="73">
        <v>10000</v>
      </c>
      <c r="G148" s="324">
        <v>0</v>
      </c>
      <c r="H148" s="74" t="s">
        <v>106</v>
      </c>
      <c r="I148" s="77"/>
    </row>
    <row r="149" spans="1:9" s="101" customFormat="1" hidden="1">
      <c r="A149" s="214" t="s">
        <v>306</v>
      </c>
      <c r="B149" s="192">
        <f>16367</f>
        <v>16367</v>
      </c>
      <c r="C149" s="193">
        <v>8667.08</v>
      </c>
      <c r="D149" s="194">
        <v>12663</v>
      </c>
      <c r="E149" s="195">
        <v>7370</v>
      </c>
      <c r="F149" s="195">
        <v>10000</v>
      </c>
      <c r="G149" s="341">
        <v>23129</v>
      </c>
      <c r="H149" s="74" t="s">
        <v>106</v>
      </c>
      <c r="I149" s="77" t="s">
        <v>316</v>
      </c>
    </row>
    <row r="150" spans="1:9" s="101" customFormat="1" hidden="1">
      <c r="A150" s="103" t="s">
        <v>307</v>
      </c>
      <c r="B150" s="78">
        <v>2376</v>
      </c>
      <c r="C150" s="79">
        <v>13377</v>
      </c>
      <c r="D150" s="127">
        <v>0</v>
      </c>
      <c r="E150" s="122">
        <v>22000</v>
      </c>
      <c r="F150" s="122">
        <v>15000</v>
      </c>
      <c r="G150" s="324">
        <v>15000</v>
      </c>
      <c r="H150" s="74" t="s">
        <v>106</v>
      </c>
      <c r="I150" s="77"/>
    </row>
    <row r="151" spans="1:9" hidden="1">
      <c r="A151" s="103" t="s">
        <v>308</v>
      </c>
      <c r="B151" s="70">
        <v>25798</v>
      </c>
      <c r="C151" s="71">
        <v>32688.27</v>
      </c>
      <c r="D151" s="72">
        <v>14310</v>
      </c>
      <c r="E151" s="73">
        <v>22000</v>
      </c>
      <c r="F151" s="73">
        <v>35000</v>
      </c>
      <c r="G151" s="324">
        <v>19080</v>
      </c>
      <c r="H151" s="74">
        <v>2845</v>
      </c>
      <c r="I151" s="77" t="s">
        <v>317</v>
      </c>
    </row>
    <row r="152" spans="1:9" hidden="1">
      <c r="A152" s="103" t="s">
        <v>309</v>
      </c>
      <c r="B152" s="70">
        <v>0</v>
      </c>
      <c r="C152" s="71">
        <v>9904.31</v>
      </c>
      <c r="D152" s="72">
        <v>7126</v>
      </c>
      <c r="E152" s="73">
        <v>18000</v>
      </c>
      <c r="F152" s="73">
        <v>10000</v>
      </c>
      <c r="G152" s="324">
        <v>7132</v>
      </c>
      <c r="H152" s="94">
        <v>2200</v>
      </c>
      <c r="I152" s="77" t="s">
        <v>318</v>
      </c>
    </row>
    <row r="153" spans="1:9" hidden="1">
      <c r="A153" s="103" t="s">
        <v>310</v>
      </c>
      <c r="B153" s="70">
        <v>2989</v>
      </c>
      <c r="C153" s="71">
        <v>5682.8</v>
      </c>
      <c r="D153" s="72">
        <v>4809</v>
      </c>
      <c r="E153" s="73">
        <v>10000</v>
      </c>
      <c r="F153" s="73">
        <v>7500</v>
      </c>
      <c r="G153" s="324">
        <v>6375</v>
      </c>
      <c r="H153" s="74">
        <v>2845</v>
      </c>
      <c r="I153" s="77"/>
    </row>
    <row r="154" spans="1:9" hidden="1">
      <c r="A154" s="103" t="s">
        <v>311</v>
      </c>
      <c r="B154" s="70">
        <v>216</v>
      </c>
      <c r="C154" s="71">
        <v>319.88</v>
      </c>
      <c r="D154" s="72">
        <v>189</v>
      </c>
      <c r="E154" s="73">
        <v>1500</v>
      </c>
      <c r="F154" s="73">
        <v>500</v>
      </c>
      <c r="G154" s="324">
        <v>249</v>
      </c>
      <c r="H154" s="74">
        <v>2845</v>
      </c>
      <c r="I154" s="77"/>
    </row>
    <row r="155" spans="1:9" hidden="1">
      <c r="A155" s="103" t="s">
        <v>312</v>
      </c>
      <c r="B155" s="70">
        <v>11773</v>
      </c>
      <c r="C155" s="71">
        <v>9787.7099999999991</v>
      </c>
      <c r="D155" s="72">
        <v>7154</v>
      </c>
      <c r="E155" s="73">
        <v>12000</v>
      </c>
      <c r="F155" s="73">
        <v>12000</v>
      </c>
      <c r="G155" s="324">
        <v>8654</v>
      </c>
      <c r="H155" s="94">
        <v>2200</v>
      </c>
      <c r="I155" s="77"/>
    </row>
    <row r="156" spans="1:9" hidden="1">
      <c r="A156" s="103" t="s">
        <v>313</v>
      </c>
      <c r="B156" s="70">
        <v>0</v>
      </c>
      <c r="C156" s="71">
        <v>551.30999999999995</v>
      </c>
      <c r="D156" s="72">
        <v>0</v>
      </c>
      <c r="E156" s="73">
        <v>6000</v>
      </c>
      <c r="F156" s="73">
        <v>600</v>
      </c>
      <c r="G156" s="324">
        <v>0</v>
      </c>
      <c r="H156" s="94">
        <v>2200</v>
      </c>
      <c r="I156" s="77"/>
    </row>
    <row r="157" spans="1:9" hidden="1">
      <c r="A157" s="103" t="s">
        <v>314</v>
      </c>
      <c r="B157" s="70">
        <v>23114</v>
      </c>
      <c r="C157" s="71">
        <v>46837.65</v>
      </c>
      <c r="D157" s="72">
        <v>33433</v>
      </c>
      <c r="E157" s="73">
        <v>20000</v>
      </c>
      <c r="F157" s="73">
        <v>20000</v>
      </c>
      <c r="G157" s="324">
        <v>35000</v>
      </c>
      <c r="H157" s="74" t="s">
        <v>81</v>
      </c>
      <c r="I157" s="77" t="s">
        <v>331</v>
      </c>
    </row>
    <row r="158" spans="1:9" hidden="1">
      <c r="A158" s="215" t="s">
        <v>97</v>
      </c>
      <c r="B158" s="216">
        <v>34992</v>
      </c>
      <c r="C158" s="217">
        <v>26333.4</v>
      </c>
      <c r="D158" s="218">
        <v>6144</v>
      </c>
      <c r="E158" s="219">
        <v>5000</v>
      </c>
      <c r="F158" s="219">
        <v>5000</v>
      </c>
      <c r="G158" s="324">
        <f>8144</f>
        <v>8144</v>
      </c>
      <c r="H158" s="74">
        <v>2410</v>
      </c>
      <c r="I158" s="77" t="s">
        <v>346</v>
      </c>
    </row>
    <row r="159" spans="1:9" hidden="1">
      <c r="A159" s="215" t="s">
        <v>293</v>
      </c>
      <c r="B159" s="216">
        <v>0</v>
      </c>
      <c r="C159" s="217">
        <v>2667</v>
      </c>
      <c r="D159" s="218">
        <v>0</v>
      </c>
      <c r="E159" s="219">
        <v>0</v>
      </c>
      <c r="F159" s="219">
        <v>3000</v>
      </c>
      <c r="G159" s="324">
        <v>3000</v>
      </c>
      <c r="H159" s="74">
        <v>3100</v>
      </c>
      <c r="I159" s="77" t="s">
        <v>319</v>
      </c>
    </row>
    <row r="160" spans="1:9" ht="16" hidden="1" thickBot="1">
      <c r="A160" s="220" t="s">
        <v>294</v>
      </c>
      <c r="B160" s="221">
        <v>391242</v>
      </c>
      <c r="C160" s="222">
        <v>391453.92</v>
      </c>
      <c r="D160" s="211">
        <v>95498</v>
      </c>
      <c r="E160" s="212">
        <v>120000</v>
      </c>
      <c r="F160" s="212">
        <v>127200</v>
      </c>
      <c r="G160" s="344">
        <v>127218</v>
      </c>
      <c r="H160" s="85" t="s">
        <v>108</v>
      </c>
      <c r="I160" s="213" t="s">
        <v>330</v>
      </c>
    </row>
    <row r="161" spans="1:9" s="49" customFormat="1" ht="16">
      <c r="A161" s="186" t="s">
        <v>53</v>
      </c>
      <c r="B161" s="187">
        <f>SUM(B146:B160)</f>
        <v>538644</v>
      </c>
      <c r="C161" s="188">
        <f t="shared" ref="C161:G161" si="13">SUM(C146:C160)</f>
        <v>610317.46</v>
      </c>
      <c r="D161" s="187">
        <f t="shared" si="13"/>
        <v>241230</v>
      </c>
      <c r="E161" s="188">
        <f t="shared" si="13"/>
        <v>278870</v>
      </c>
      <c r="F161" s="188">
        <f t="shared" si="13"/>
        <v>310800</v>
      </c>
      <c r="G161" s="188">
        <f t="shared" si="13"/>
        <v>312981</v>
      </c>
      <c r="H161" s="189"/>
      <c r="I161" s="189"/>
    </row>
    <row r="162" spans="1:9" hidden="1">
      <c r="A162" s="64" t="s">
        <v>54</v>
      </c>
      <c r="B162" s="92"/>
      <c r="C162" s="93"/>
      <c r="D162" s="72"/>
      <c r="E162" s="102"/>
      <c r="F162" s="73"/>
      <c r="G162" s="327"/>
      <c r="H162" s="94"/>
      <c r="I162" s="77"/>
    </row>
    <row r="163" spans="1:9" hidden="1">
      <c r="A163" s="64" t="s">
        <v>55</v>
      </c>
      <c r="B163" s="70">
        <f>9464</f>
        <v>9464</v>
      </c>
      <c r="C163" s="71">
        <v>16261.17</v>
      </c>
      <c r="D163" s="72">
        <v>7332</v>
      </c>
      <c r="E163" s="73">
        <v>18500</v>
      </c>
      <c r="F163" s="73">
        <v>18500</v>
      </c>
      <c r="G163" s="324">
        <v>12000</v>
      </c>
      <c r="H163" s="74" t="s">
        <v>85</v>
      </c>
      <c r="I163" s="223"/>
    </row>
    <row r="164" spans="1:9" hidden="1">
      <c r="A164" s="64" t="s">
        <v>95</v>
      </c>
      <c r="B164" s="70">
        <f>2298+22369</f>
        <v>24667</v>
      </c>
      <c r="C164" s="71">
        <v>23475.88</v>
      </c>
      <c r="D164" s="72">
        <v>24703</v>
      </c>
      <c r="E164" s="73">
        <f>1000+20000</f>
        <v>21000</v>
      </c>
      <c r="F164" s="73">
        <v>25000</v>
      </c>
      <c r="G164" s="324">
        <v>29203</v>
      </c>
      <c r="H164" s="74" t="s">
        <v>85</v>
      </c>
      <c r="I164" s="223"/>
    </row>
    <row r="165" spans="1:9" hidden="1">
      <c r="A165" s="64" t="s">
        <v>56</v>
      </c>
      <c r="B165" s="70">
        <f>8387+18</f>
        <v>8405</v>
      </c>
      <c r="C165" s="71">
        <v>6726.24</v>
      </c>
      <c r="D165" s="72">
        <v>12149</v>
      </c>
      <c r="E165" s="73">
        <v>25000</v>
      </c>
      <c r="F165" s="73">
        <v>10000</v>
      </c>
      <c r="G165" s="324">
        <v>16649</v>
      </c>
      <c r="H165" s="74" t="s">
        <v>81</v>
      </c>
      <c r="I165" s="223"/>
    </row>
    <row r="166" spans="1:9" hidden="1">
      <c r="A166" s="64" t="s">
        <v>57</v>
      </c>
      <c r="B166" s="70">
        <v>0</v>
      </c>
      <c r="C166" s="71">
        <v>0</v>
      </c>
      <c r="D166" s="72">
        <v>0</v>
      </c>
      <c r="E166" s="73">
        <v>500</v>
      </c>
      <c r="F166" s="73">
        <v>500</v>
      </c>
      <c r="G166" s="324">
        <v>0</v>
      </c>
      <c r="H166" s="74" t="s">
        <v>109</v>
      </c>
      <c r="I166" s="223"/>
    </row>
    <row r="167" spans="1:9" hidden="1">
      <c r="A167" s="64" t="s">
        <v>58</v>
      </c>
      <c r="B167" s="70">
        <v>637</v>
      </c>
      <c r="C167" s="71">
        <v>431.8</v>
      </c>
      <c r="D167" s="72">
        <v>1019</v>
      </c>
      <c r="E167" s="73">
        <v>100</v>
      </c>
      <c r="F167" s="73">
        <v>1000</v>
      </c>
      <c r="G167" s="324">
        <v>1019</v>
      </c>
      <c r="H167" s="74" t="s">
        <v>85</v>
      </c>
      <c r="I167" s="223"/>
    </row>
    <row r="168" spans="1:9" hidden="1">
      <c r="A168" s="64" t="s">
        <v>59</v>
      </c>
      <c r="B168" s="70">
        <v>86</v>
      </c>
      <c r="C168" s="71">
        <v>2503.8200000000002</v>
      </c>
      <c r="D168" s="72">
        <v>1588</v>
      </c>
      <c r="E168" s="73">
        <v>1000</v>
      </c>
      <c r="F168" s="73">
        <v>2000</v>
      </c>
      <c r="G168" s="324">
        <v>2088</v>
      </c>
      <c r="H168" s="74" t="s">
        <v>80</v>
      </c>
      <c r="I168" s="223"/>
    </row>
    <row r="169" spans="1:9" hidden="1">
      <c r="A169" s="64" t="s">
        <v>60</v>
      </c>
      <c r="B169" s="70">
        <v>2358</v>
      </c>
      <c r="C169" s="71">
        <v>1516.91</v>
      </c>
      <c r="D169" s="72">
        <v>1804</v>
      </c>
      <c r="E169" s="73">
        <v>500</v>
      </c>
      <c r="F169" s="73">
        <v>1500</v>
      </c>
      <c r="G169" s="324">
        <v>2004</v>
      </c>
      <c r="H169" s="74" t="s">
        <v>80</v>
      </c>
      <c r="I169" s="223"/>
    </row>
    <row r="170" spans="1:9" hidden="1">
      <c r="A170" s="64" t="s">
        <v>61</v>
      </c>
      <c r="B170" s="70">
        <v>22628</v>
      </c>
      <c r="C170" s="71">
        <v>13516.87</v>
      </c>
      <c r="D170" s="72">
        <v>14194</v>
      </c>
      <c r="E170" s="73">
        <v>20000</v>
      </c>
      <c r="F170" s="73">
        <v>20000</v>
      </c>
      <c r="G170" s="324">
        <v>20194</v>
      </c>
      <c r="H170" s="74" t="s">
        <v>81</v>
      </c>
      <c r="I170" s="223"/>
    </row>
    <row r="171" spans="1:9" hidden="1">
      <c r="A171" s="64" t="s">
        <v>62</v>
      </c>
      <c r="B171" s="70">
        <v>1387</v>
      </c>
      <c r="C171" s="71">
        <v>4047.27</v>
      </c>
      <c r="D171" s="72">
        <v>4678</v>
      </c>
      <c r="E171" s="73">
        <v>3000</v>
      </c>
      <c r="F171" s="73">
        <v>5000</v>
      </c>
      <c r="G171" s="324">
        <v>6528</v>
      </c>
      <c r="H171" s="74" t="s">
        <v>81</v>
      </c>
      <c r="I171" s="223"/>
    </row>
    <row r="172" spans="1:9" hidden="1">
      <c r="A172" s="64" t="s">
        <v>63</v>
      </c>
      <c r="B172" s="70">
        <v>1176</v>
      </c>
      <c r="C172" s="71">
        <v>701.26</v>
      </c>
      <c r="D172" s="72">
        <v>632</v>
      </c>
      <c r="E172" s="73">
        <v>500</v>
      </c>
      <c r="F172" s="73">
        <v>500</v>
      </c>
      <c r="G172" s="324">
        <v>632</v>
      </c>
      <c r="H172" s="74" t="s">
        <v>80</v>
      </c>
      <c r="I172" s="223"/>
    </row>
    <row r="173" spans="1:9" hidden="1">
      <c r="A173" s="100" t="s">
        <v>371</v>
      </c>
      <c r="B173" s="70">
        <v>0</v>
      </c>
      <c r="C173" s="71">
        <v>0</v>
      </c>
      <c r="D173" s="72">
        <v>2058</v>
      </c>
      <c r="E173" s="73">
        <v>0</v>
      </c>
      <c r="F173" s="73">
        <v>2000</v>
      </c>
      <c r="G173" s="324">
        <v>2058</v>
      </c>
      <c r="H173" s="74" t="s">
        <v>80</v>
      </c>
      <c r="I173" s="223"/>
    </row>
    <row r="174" spans="1:9" hidden="1">
      <c r="A174" s="64" t="s">
        <v>407</v>
      </c>
      <c r="B174" s="70">
        <v>311</v>
      </c>
      <c r="C174" s="71">
        <f>310.27+127.61</f>
        <v>437.88</v>
      </c>
      <c r="D174" s="72">
        <v>695</v>
      </c>
      <c r="E174" s="73">
        <v>10000</v>
      </c>
      <c r="F174" s="73">
        <v>5000</v>
      </c>
      <c r="G174" s="324">
        <v>1000</v>
      </c>
      <c r="H174" s="74" t="s">
        <v>110</v>
      </c>
      <c r="I174" s="223"/>
    </row>
    <row r="175" spans="1:9" hidden="1">
      <c r="A175" s="64" t="s">
        <v>64</v>
      </c>
      <c r="B175" s="70">
        <v>0</v>
      </c>
      <c r="C175" s="71">
        <v>0</v>
      </c>
      <c r="D175" s="72">
        <v>0</v>
      </c>
      <c r="E175" s="73">
        <v>1150</v>
      </c>
      <c r="F175" s="73">
        <v>0</v>
      </c>
      <c r="G175" s="324">
        <v>0</v>
      </c>
      <c r="H175" s="74" t="s">
        <v>81</v>
      </c>
      <c r="I175" s="223"/>
    </row>
    <row r="176" spans="1:9" hidden="1">
      <c r="A176" s="203" t="s">
        <v>65</v>
      </c>
      <c r="B176" s="204">
        <v>3905</v>
      </c>
      <c r="C176" s="205">
        <v>11052.9</v>
      </c>
      <c r="D176" s="135">
        <v>10705</v>
      </c>
      <c r="E176" s="206">
        <v>10000</v>
      </c>
      <c r="F176" s="206">
        <v>12000</v>
      </c>
      <c r="G176" s="343">
        <v>15205</v>
      </c>
      <c r="H176" s="74" t="s">
        <v>82</v>
      </c>
      <c r="I176" s="223"/>
    </row>
    <row r="177" spans="1:9" hidden="1">
      <c r="A177" s="203" t="s">
        <v>66</v>
      </c>
      <c r="B177" s="204">
        <v>7193</v>
      </c>
      <c r="C177" s="205">
        <v>4720.87</v>
      </c>
      <c r="D177" s="135">
        <v>0</v>
      </c>
      <c r="E177" s="206">
        <v>7500</v>
      </c>
      <c r="F177" s="206">
        <v>7500</v>
      </c>
      <c r="G177" s="343">
        <v>0</v>
      </c>
      <c r="H177" s="74" t="s">
        <v>82</v>
      </c>
      <c r="I177" s="223"/>
    </row>
    <row r="178" spans="1:9" hidden="1">
      <c r="A178" s="100" t="s">
        <v>370</v>
      </c>
      <c r="B178" s="70">
        <v>0</v>
      </c>
      <c r="C178" s="71">
        <v>0</v>
      </c>
      <c r="D178" s="72">
        <v>4195</v>
      </c>
      <c r="E178" s="73">
        <v>0</v>
      </c>
      <c r="F178" s="73">
        <v>4000</v>
      </c>
      <c r="G178" s="324">
        <v>4195</v>
      </c>
      <c r="H178" s="74">
        <v>1700</v>
      </c>
      <c r="I178" s="168" t="s">
        <v>354</v>
      </c>
    </row>
    <row r="179" spans="1:9" hidden="1">
      <c r="A179" s="64" t="s">
        <v>67</v>
      </c>
      <c r="B179" s="70">
        <v>8688</v>
      </c>
      <c r="C179" s="71">
        <v>12646.68</v>
      </c>
      <c r="D179" s="72">
        <v>6117</v>
      </c>
      <c r="E179" s="73">
        <v>6000</v>
      </c>
      <c r="F179" s="73">
        <v>13000</v>
      </c>
      <c r="G179" s="324">
        <v>10617</v>
      </c>
      <c r="H179" s="74" t="s">
        <v>82</v>
      </c>
      <c r="I179" s="223"/>
    </row>
    <row r="180" spans="1:9" hidden="1">
      <c r="A180" s="64" t="s">
        <v>68</v>
      </c>
      <c r="B180" s="70">
        <v>18068</v>
      </c>
      <c r="C180" s="71">
        <v>19326</v>
      </c>
      <c r="D180" s="72">
        <v>11624</v>
      </c>
      <c r="E180" s="73">
        <v>15500</v>
      </c>
      <c r="F180" s="73">
        <v>20000</v>
      </c>
      <c r="G180" s="324">
        <v>15824</v>
      </c>
      <c r="H180" s="74" t="s">
        <v>82</v>
      </c>
      <c r="I180" s="223"/>
    </row>
    <row r="181" spans="1:9" hidden="1">
      <c r="A181" s="224" t="s">
        <v>372</v>
      </c>
      <c r="B181" s="70">
        <f>0</f>
        <v>0</v>
      </c>
      <c r="C181" s="71">
        <v>42.55</v>
      </c>
      <c r="D181" s="72">
        <v>0</v>
      </c>
      <c r="E181" s="73">
        <v>2800</v>
      </c>
      <c r="F181" s="73">
        <v>2800</v>
      </c>
      <c r="G181" s="324">
        <v>0</v>
      </c>
      <c r="H181" s="74" t="s">
        <v>87</v>
      </c>
      <c r="I181" s="223"/>
    </row>
    <row r="182" spans="1:9" hidden="1">
      <c r="A182" s="64" t="s">
        <v>69</v>
      </c>
      <c r="B182" s="70">
        <f>2360</f>
        <v>2360</v>
      </c>
      <c r="C182" s="71">
        <v>580.20000000000005</v>
      </c>
      <c r="D182" s="72">
        <v>0</v>
      </c>
      <c r="E182" s="73">
        <v>50000</v>
      </c>
      <c r="F182" s="73">
        <v>30000</v>
      </c>
      <c r="G182" s="324">
        <v>5000</v>
      </c>
      <c r="H182" s="74" t="s">
        <v>85</v>
      </c>
      <c r="I182" s="223"/>
    </row>
    <row r="183" spans="1:9" ht="16" hidden="1" thickBot="1">
      <c r="A183" s="80" t="s">
        <v>295</v>
      </c>
      <c r="B183" s="81">
        <v>1741</v>
      </c>
      <c r="C183" s="82">
        <v>14774.7</v>
      </c>
      <c r="D183" s="83">
        <v>19124</v>
      </c>
      <c r="E183" s="84">
        <f>5000+5000+4000</f>
        <v>14000</v>
      </c>
      <c r="F183" s="84">
        <v>35000</v>
      </c>
      <c r="G183" s="325">
        <v>19125</v>
      </c>
      <c r="H183" s="85" t="s">
        <v>85</v>
      </c>
      <c r="I183" s="225" t="s">
        <v>384</v>
      </c>
    </row>
    <row r="184" spans="1:9" s="49" customFormat="1" ht="16">
      <c r="A184" s="186" t="s">
        <v>70</v>
      </c>
      <c r="B184" s="187">
        <f>SUM(B163:B183)</f>
        <v>113074</v>
      </c>
      <c r="C184" s="188">
        <f>SUM(C163:C183)</f>
        <v>132763</v>
      </c>
      <c r="D184" s="187">
        <f>SUM(D163:D183)</f>
        <v>122617</v>
      </c>
      <c r="E184" s="188">
        <f>SUM(E163:E183)</f>
        <v>207050</v>
      </c>
      <c r="F184" s="188">
        <f t="shared" ref="F184:G184" si="14">SUM(F163:F183)</f>
        <v>215300</v>
      </c>
      <c r="G184" s="188">
        <f t="shared" si="14"/>
        <v>163341</v>
      </c>
      <c r="H184" s="189"/>
      <c r="I184" s="189"/>
    </row>
    <row r="185" spans="1:9" hidden="1">
      <c r="A185" s="64" t="s">
        <v>71</v>
      </c>
      <c r="B185" s="92"/>
      <c r="C185" s="93"/>
      <c r="D185" s="72"/>
      <c r="E185" s="102"/>
      <c r="F185" s="73"/>
      <c r="G185" s="327"/>
      <c r="H185" s="94"/>
      <c r="I185" s="77"/>
    </row>
    <row r="186" spans="1:9" hidden="1">
      <c r="A186" s="226" t="s">
        <v>296</v>
      </c>
      <c r="B186" s="227">
        <v>33504</v>
      </c>
      <c r="C186" s="228">
        <v>10151</v>
      </c>
      <c r="D186" s="229">
        <v>26225</v>
      </c>
      <c r="E186" s="230">
        <v>0</v>
      </c>
      <c r="F186" s="230">
        <v>27000</v>
      </c>
      <c r="G186" s="345">
        <v>26225</v>
      </c>
      <c r="H186" s="74" t="s">
        <v>300</v>
      </c>
      <c r="I186" s="77" t="s">
        <v>374</v>
      </c>
    </row>
    <row r="187" spans="1:9" hidden="1">
      <c r="A187" s="226" t="s">
        <v>297</v>
      </c>
      <c r="B187" s="227">
        <v>0</v>
      </c>
      <c r="C187" s="228">
        <v>0</v>
      </c>
      <c r="D187" s="229">
        <v>0</v>
      </c>
      <c r="E187" s="230">
        <v>0</v>
      </c>
      <c r="F187" s="230">
        <v>382196.87</v>
      </c>
      <c r="G187" s="346">
        <v>0</v>
      </c>
      <c r="H187" s="74" t="s">
        <v>82</v>
      </c>
      <c r="I187" s="77" t="s">
        <v>375</v>
      </c>
    </row>
    <row r="188" spans="1:9" hidden="1">
      <c r="A188" s="103" t="s">
        <v>373</v>
      </c>
      <c r="B188" s="70">
        <v>0</v>
      </c>
      <c r="C188" s="71">
        <v>0</v>
      </c>
      <c r="D188" s="72">
        <v>0</v>
      </c>
      <c r="E188" s="73">
        <v>2100</v>
      </c>
      <c r="F188" s="73">
        <v>2100</v>
      </c>
      <c r="G188" s="324">
        <v>0</v>
      </c>
      <c r="H188" s="74">
        <v>2900</v>
      </c>
      <c r="I188" s="77"/>
    </row>
    <row r="189" spans="1:9" hidden="1">
      <c r="A189" s="103" t="s">
        <v>301</v>
      </c>
      <c r="B189" s="70">
        <v>16096</v>
      </c>
      <c r="C189" s="71">
        <v>7973.21</v>
      </c>
      <c r="D189" s="72">
        <v>1240</v>
      </c>
      <c r="E189" s="73">
        <v>40000</v>
      </c>
      <c r="F189" s="73">
        <v>40000</v>
      </c>
      <c r="G189" s="324">
        <v>1240</v>
      </c>
      <c r="H189" s="74" t="s">
        <v>85</v>
      </c>
      <c r="I189" s="77"/>
    </row>
    <row r="190" spans="1:9" hidden="1">
      <c r="A190" s="103" t="s">
        <v>298</v>
      </c>
      <c r="B190" s="78">
        <v>14387</v>
      </c>
      <c r="C190" s="79">
        <v>17476.650000000001</v>
      </c>
      <c r="D190" s="72">
        <v>0</v>
      </c>
      <c r="E190" s="73">
        <v>23000</v>
      </c>
      <c r="F190" s="73">
        <v>10000</v>
      </c>
      <c r="G190" s="324">
        <v>30000</v>
      </c>
      <c r="H190" s="74" t="s">
        <v>81</v>
      </c>
      <c r="I190" s="77"/>
    </row>
    <row r="191" spans="1:9" ht="16" hidden="1" thickBot="1">
      <c r="A191" s="106" t="s">
        <v>299</v>
      </c>
      <c r="B191" s="81">
        <v>15643</v>
      </c>
      <c r="C191" s="82">
        <f>20475.37-0.49</f>
        <v>20474.879999999997</v>
      </c>
      <c r="D191" s="83">
        <v>10975</v>
      </c>
      <c r="E191" s="84">
        <v>17000</v>
      </c>
      <c r="F191" s="84">
        <v>20000</v>
      </c>
      <c r="G191" s="325">
        <v>13074</v>
      </c>
      <c r="H191" s="85" t="s">
        <v>81</v>
      </c>
      <c r="I191" s="86"/>
    </row>
    <row r="192" spans="1:9" s="49" customFormat="1" ht="17" thickBot="1">
      <c r="A192" s="186" t="s">
        <v>72</v>
      </c>
      <c r="B192" s="231">
        <f t="shared" ref="B192:G192" si="15">SUM(B186:B191)</f>
        <v>79630</v>
      </c>
      <c r="C192" s="232">
        <f t="shared" si="15"/>
        <v>56075.74</v>
      </c>
      <c r="D192" s="231">
        <f t="shared" si="15"/>
        <v>38440</v>
      </c>
      <c r="E192" s="232">
        <f t="shared" si="15"/>
        <v>82100</v>
      </c>
      <c r="F192" s="232">
        <f t="shared" si="15"/>
        <v>481296.87</v>
      </c>
      <c r="G192" s="232">
        <f t="shared" si="15"/>
        <v>70539</v>
      </c>
      <c r="H192" s="233"/>
      <c r="I192" s="233"/>
    </row>
    <row r="193" spans="1:9" hidden="1">
      <c r="A193" s="64" t="s">
        <v>73</v>
      </c>
      <c r="B193" s="92"/>
      <c r="C193" s="93"/>
      <c r="D193" s="72"/>
      <c r="E193" s="102"/>
      <c r="F193" s="73"/>
      <c r="G193" s="327"/>
      <c r="H193" s="94"/>
      <c r="I193" s="77"/>
    </row>
    <row r="194" spans="1:9" hidden="1">
      <c r="A194" s="103" t="s">
        <v>302</v>
      </c>
      <c r="B194" s="70">
        <v>19291</v>
      </c>
      <c r="C194" s="71">
        <v>21590.41</v>
      </c>
      <c r="D194" s="72">
        <v>38547</v>
      </c>
      <c r="E194" s="73">
        <v>4000</v>
      </c>
      <c r="F194" s="73">
        <v>23000</v>
      </c>
      <c r="G194" s="327">
        <v>40000</v>
      </c>
      <c r="H194" s="94">
        <v>2410</v>
      </c>
      <c r="I194" s="77"/>
    </row>
    <row r="195" spans="1:9" ht="16" hidden="1" thickBot="1">
      <c r="A195" s="106" t="s">
        <v>303</v>
      </c>
      <c r="B195" s="70">
        <v>0</v>
      </c>
      <c r="C195" s="71">
        <v>9565</v>
      </c>
      <c r="D195" s="83">
        <v>0</v>
      </c>
      <c r="E195" s="84">
        <v>0</v>
      </c>
      <c r="F195" s="84">
        <v>0</v>
      </c>
      <c r="G195" s="325">
        <v>0</v>
      </c>
      <c r="H195" s="85" t="s">
        <v>78</v>
      </c>
      <c r="I195" s="86"/>
    </row>
    <row r="196" spans="1:9" s="49" customFormat="1" ht="17" thickBot="1">
      <c r="A196" s="234" t="s">
        <v>74</v>
      </c>
      <c r="B196" s="235">
        <f t="shared" ref="B196:G196" si="16">SUM(B194:B195)</f>
        <v>19291</v>
      </c>
      <c r="C196" s="236">
        <f t="shared" si="16"/>
        <v>31155.41</v>
      </c>
      <c r="D196" s="235">
        <f t="shared" si="16"/>
        <v>38547</v>
      </c>
      <c r="E196" s="236">
        <f t="shared" si="16"/>
        <v>4000</v>
      </c>
      <c r="F196" s="236">
        <f t="shared" si="16"/>
        <v>23000</v>
      </c>
      <c r="G196" s="236">
        <f t="shared" si="16"/>
        <v>40000</v>
      </c>
      <c r="H196" s="237"/>
      <c r="I196" s="237"/>
    </row>
    <row r="197" spans="1:9" s="49" customFormat="1">
      <c r="A197" s="107" t="s">
        <v>75</v>
      </c>
      <c r="B197" s="238">
        <f t="shared" ref="B197:G197" si="17">B63+B116+B137+B145+B161+B184+B192+B196</f>
        <v>3875198</v>
      </c>
      <c r="C197" s="239">
        <f t="shared" si="17"/>
        <v>4161976.7</v>
      </c>
      <c r="D197" s="238">
        <f t="shared" si="17"/>
        <v>3355331</v>
      </c>
      <c r="E197" s="239">
        <f t="shared" si="17"/>
        <v>4175266</v>
      </c>
      <c r="F197" s="239">
        <f t="shared" si="17"/>
        <v>5107490.7</v>
      </c>
      <c r="G197" s="239">
        <f t="shared" si="17"/>
        <v>4723526</v>
      </c>
      <c r="H197" s="240"/>
      <c r="I197" s="240"/>
    </row>
    <row r="198" spans="1:9" s="49" customFormat="1">
      <c r="A198" s="241"/>
      <c r="B198" s="242"/>
      <c r="C198" s="243"/>
      <c r="D198" s="244"/>
      <c r="E198" s="245"/>
      <c r="F198" s="246"/>
      <c r="G198" s="347"/>
      <c r="H198" s="247"/>
      <c r="I198" s="190"/>
    </row>
    <row r="199" spans="1:9" s="49" customFormat="1" ht="17" thickBot="1">
      <c r="A199" s="248" t="s">
        <v>259</v>
      </c>
      <c r="B199" s="249">
        <f t="shared" ref="B199:G199" si="18">B44-B197</f>
        <v>210689</v>
      </c>
      <c r="C199" s="250">
        <f t="shared" si="18"/>
        <v>283506.88999999966</v>
      </c>
      <c r="D199" s="249">
        <f t="shared" si="18"/>
        <v>266326</v>
      </c>
      <c r="E199" s="250">
        <f t="shared" si="18"/>
        <v>20626.55999999959</v>
      </c>
      <c r="F199" s="250">
        <f t="shared" si="18"/>
        <v>-336993.87666666694</v>
      </c>
      <c r="G199" s="250">
        <f t="shared" si="18"/>
        <v>215141.53000000026</v>
      </c>
      <c r="H199" s="251"/>
      <c r="I199" s="251"/>
    </row>
    <row r="200" spans="1:9" ht="16" thickTop="1">
      <c r="A200" s="64"/>
      <c r="B200" s="92"/>
      <c r="C200" s="93"/>
      <c r="D200" s="252"/>
      <c r="E200" s="253"/>
      <c r="F200" s="254"/>
      <c r="G200" s="348"/>
      <c r="H200" s="94"/>
      <c r="I200" s="77"/>
    </row>
    <row r="201" spans="1:9" s="101" customFormat="1">
      <c r="A201" s="60" t="s">
        <v>385</v>
      </c>
      <c r="B201" s="70">
        <v>136000</v>
      </c>
      <c r="C201" s="71">
        <v>136000</v>
      </c>
      <c r="D201" s="72">
        <v>136000</v>
      </c>
      <c r="E201" s="255">
        <v>136000</v>
      </c>
      <c r="F201" s="255">
        <v>136000</v>
      </c>
      <c r="G201" s="349">
        <v>136000</v>
      </c>
      <c r="H201" s="94"/>
      <c r="I201" s="77"/>
    </row>
    <row r="202" spans="1:9" s="101" customFormat="1">
      <c r="A202" s="60" t="s">
        <v>387</v>
      </c>
      <c r="B202" s="70">
        <f>5956+3527959</f>
        <v>3533915</v>
      </c>
      <c r="C202" s="71">
        <f>18735+3066610</f>
        <v>3085345</v>
      </c>
      <c r="D202" s="72">
        <f>C202+D199</f>
        <v>3351671</v>
      </c>
      <c r="E202" s="73">
        <f>C202+E199</f>
        <v>3105971.5599999996</v>
      </c>
      <c r="F202" s="73">
        <f>C202+F199</f>
        <v>2748351.1233333331</v>
      </c>
      <c r="G202" s="350">
        <f>D202+G199</f>
        <v>3566812.5300000003</v>
      </c>
      <c r="H202" s="94"/>
      <c r="I202" s="157" t="s">
        <v>408</v>
      </c>
    </row>
    <row r="203" spans="1:9" s="48" customFormat="1" ht="16" thickBot="1">
      <c r="A203" s="60" t="s">
        <v>386</v>
      </c>
      <c r="B203" s="256">
        <f>SUM(B201:B202)</f>
        <v>3669915</v>
      </c>
      <c r="C203" s="257">
        <f t="shared" ref="C203:F203" si="19">SUM(C201:C202)</f>
        <v>3221345</v>
      </c>
      <c r="D203" s="256">
        <f t="shared" si="19"/>
        <v>3487671</v>
      </c>
      <c r="E203" s="257">
        <f t="shared" si="19"/>
        <v>3241971.5599999996</v>
      </c>
      <c r="F203" s="257">
        <f t="shared" si="19"/>
        <v>2884351.1233333331</v>
      </c>
      <c r="G203" s="351">
        <f t="shared" ref="G203" si="20">SUM(G201:G202)</f>
        <v>3702812.5300000003</v>
      </c>
      <c r="H203" s="247"/>
      <c r="I203" s="190"/>
    </row>
    <row r="204" spans="1:9" s="101" customFormat="1" ht="16" thickBot="1">
      <c r="A204" s="64"/>
      <c r="B204" s="92"/>
      <c r="C204" s="93"/>
      <c r="D204" s="252"/>
      <c r="E204" s="254"/>
      <c r="F204" s="254"/>
      <c r="G204" s="348"/>
      <c r="H204" s="94"/>
      <c r="I204" s="77"/>
    </row>
    <row r="205" spans="1:9">
      <c r="A205" s="317" t="s">
        <v>380</v>
      </c>
      <c r="B205" s="258"/>
      <c r="C205" s="259"/>
      <c r="D205" s="260"/>
      <c r="E205" s="261"/>
      <c r="F205" s="261"/>
      <c r="G205" s="352"/>
      <c r="H205" s="262"/>
      <c r="I205" s="263"/>
    </row>
    <row r="206" spans="1:9" s="265" customFormat="1">
      <c r="A206" s="264" t="s">
        <v>350</v>
      </c>
      <c r="B206" s="70"/>
      <c r="C206" s="71"/>
      <c r="D206" s="72">
        <v>201730</v>
      </c>
      <c r="E206" s="73"/>
      <c r="F206" s="73">
        <v>302595</v>
      </c>
      <c r="G206" s="350">
        <f>D206/8*12</f>
        <v>302595</v>
      </c>
      <c r="I206" s="266"/>
    </row>
    <row r="207" spans="1:9" s="265" customFormat="1">
      <c r="A207" s="264" t="s">
        <v>379</v>
      </c>
      <c r="B207" s="70"/>
      <c r="C207" s="71"/>
      <c r="D207" s="72">
        <v>236</v>
      </c>
      <c r="E207" s="73"/>
      <c r="F207" s="73">
        <v>293</v>
      </c>
      <c r="G207" s="350">
        <f>D207/8*12</f>
        <v>354</v>
      </c>
      <c r="I207" s="267"/>
    </row>
    <row r="208" spans="1:9" s="265" customFormat="1">
      <c r="A208" s="264" t="s">
        <v>400</v>
      </c>
      <c r="B208" s="70"/>
      <c r="C208" s="71"/>
      <c r="D208" s="72">
        <v>383141</v>
      </c>
      <c r="E208" s="73"/>
      <c r="F208" s="73">
        <v>383141</v>
      </c>
      <c r="G208" s="350">
        <f>F208</f>
        <v>383141</v>
      </c>
      <c r="I208" s="267" t="s">
        <v>410</v>
      </c>
    </row>
    <row r="209" spans="1:9" s="265" customFormat="1">
      <c r="A209" s="264" t="s">
        <v>376</v>
      </c>
      <c r="B209" s="70"/>
      <c r="C209" s="71"/>
      <c r="D209" s="72">
        <v>9</v>
      </c>
      <c r="E209" s="73"/>
      <c r="F209" s="73">
        <v>0</v>
      </c>
      <c r="G209" s="350">
        <f>D209/8*12</f>
        <v>13.5</v>
      </c>
      <c r="I209" s="266"/>
    </row>
    <row r="210" spans="1:9" s="265" customFormat="1">
      <c r="A210" s="264" t="s">
        <v>377</v>
      </c>
      <c r="B210" s="70"/>
      <c r="C210" s="71"/>
      <c r="D210" s="72">
        <v>79427</v>
      </c>
      <c r="E210" s="73"/>
      <c r="F210" s="73">
        <v>137259</v>
      </c>
      <c r="G210" s="350">
        <f>D210/8*12</f>
        <v>119140.5</v>
      </c>
      <c r="I210" s="267"/>
    </row>
    <row r="211" spans="1:9" s="265" customFormat="1">
      <c r="A211" s="264" t="s">
        <v>378</v>
      </c>
      <c r="B211" s="70"/>
      <c r="C211" s="71"/>
      <c r="D211" s="72">
        <v>97087</v>
      </c>
      <c r="E211" s="73"/>
      <c r="F211" s="73">
        <v>165336</v>
      </c>
      <c r="G211" s="350">
        <f>D211/8*12</f>
        <v>145630.5</v>
      </c>
      <c r="I211" s="267"/>
    </row>
    <row r="212" spans="1:9" s="265" customFormat="1" ht="16" thickBot="1">
      <c r="A212" s="264" t="s">
        <v>259</v>
      </c>
      <c r="B212" s="268">
        <f t="shared" ref="B212:C212" si="21">SUM(B206:B211)</f>
        <v>0</v>
      </c>
      <c r="C212" s="269">
        <f t="shared" si="21"/>
        <v>0</v>
      </c>
      <c r="D212" s="268">
        <f>D206+D207+D208-D209-D210-D211</f>
        <v>408584</v>
      </c>
      <c r="E212" s="269">
        <f t="shared" ref="E212:F212" si="22">E206+E207+E208-E209-E210-E211</f>
        <v>0</v>
      </c>
      <c r="F212" s="269">
        <f t="shared" si="22"/>
        <v>383434</v>
      </c>
      <c r="G212" s="353">
        <f t="shared" ref="G212" si="23">G206+G207+G208-G209-G210-G211</f>
        <v>421305.5</v>
      </c>
      <c r="I212" s="266"/>
    </row>
    <row r="213" spans="1:9" s="265" customFormat="1">
      <c r="A213" s="264"/>
      <c r="B213" s="70"/>
      <c r="C213" s="71"/>
      <c r="D213" s="72"/>
      <c r="E213" s="73"/>
      <c r="F213" s="73"/>
      <c r="G213" s="348"/>
      <c r="I213" s="267"/>
    </row>
    <row r="214" spans="1:9" s="265" customFormat="1">
      <c r="A214" s="264" t="s">
        <v>388</v>
      </c>
      <c r="B214" s="70">
        <f>25409</f>
        <v>25409</v>
      </c>
      <c r="C214" s="71">
        <f>25636</f>
        <v>25636</v>
      </c>
      <c r="D214" s="72">
        <f>C214</f>
        <v>25636</v>
      </c>
      <c r="E214" s="255">
        <f>D214</f>
        <v>25636</v>
      </c>
      <c r="F214" s="255">
        <f t="shared" ref="F214" si="24">E214</f>
        <v>25636</v>
      </c>
      <c r="G214" s="349">
        <f>25000</f>
        <v>25000</v>
      </c>
      <c r="I214" s="267" t="s">
        <v>409</v>
      </c>
    </row>
    <row r="215" spans="1:9" s="265" customFormat="1" ht="16" thickBot="1">
      <c r="A215" s="270"/>
      <c r="B215" s="271"/>
      <c r="C215" s="272"/>
      <c r="D215" s="273"/>
      <c r="E215" s="274"/>
      <c r="F215" s="275"/>
      <c r="G215" s="354"/>
      <c r="H215" s="276"/>
      <c r="I215" s="277"/>
    </row>
    <row r="216" spans="1:9" s="265" customFormat="1">
      <c r="A216" s="278"/>
      <c r="B216" s="279"/>
      <c r="C216" s="279"/>
      <c r="D216" s="280"/>
      <c r="E216" s="281"/>
      <c r="F216" s="282"/>
      <c r="G216" s="202"/>
      <c r="H216" s="48"/>
    </row>
    <row r="217" spans="1:9" s="265" customFormat="1">
      <c r="A217" s="283"/>
      <c r="B217" s="279"/>
      <c r="C217" s="279"/>
      <c r="D217" s="280"/>
      <c r="E217" s="281"/>
      <c r="F217" s="282"/>
      <c r="G217" s="202"/>
      <c r="H217" s="48"/>
    </row>
  </sheetData>
  <mergeCells count="1">
    <mergeCell ref="B1:E1"/>
  </mergeCells>
  <phoneticPr fontId="8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BDD6A-64C0-4B14-89A5-04BCA066DF1E}">
  <dimension ref="A1:AK199"/>
  <sheetViews>
    <sheetView tabSelected="1" view="pageBreakPreview" topLeftCell="A111" zoomScaleNormal="100" zoomScaleSheetLayoutView="100" workbookViewId="0">
      <selection activeCell="H200" sqref="H200"/>
    </sheetView>
  </sheetViews>
  <sheetFormatPr baseColWidth="10" defaultColWidth="7.1640625" defaultRowHeight="13"/>
  <cols>
    <col min="1" max="1" width="38.6640625" style="1" customWidth="1"/>
    <col min="2" max="2" width="15.1640625" style="2" customWidth="1"/>
    <col min="3" max="3" width="3.33203125" style="3" hidden="1" customWidth="1"/>
    <col min="4" max="4" width="14.5" style="3" customWidth="1"/>
    <col min="5" max="7" width="14.5" style="3" hidden="1" customWidth="1"/>
    <col min="8" max="8" width="14.5" style="3" customWidth="1"/>
    <col min="9" max="20" width="14.5" style="3" hidden="1" customWidth="1"/>
    <col min="21" max="21" width="14.5" style="3" customWidth="1"/>
    <col min="22" max="29" width="14.5" style="3" hidden="1" customWidth="1"/>
    <col min="30" max="30" width="14.5" style="3" customWidth="1"/>
    <col min="31" max="31" width="7.1640625" style="4"/>
    <col min="32" max="32" width="12.6640625" style="4" bestFit="1" customWidth="1"/>
    <col min="33" max="33" width="10.1640625" style="4" bestFit="1" customWidth="1"/>
    <col min="34" max="34" width="7.1640625" style="4"/>
    <col min="35" max="35" width="12.6640625" style="42" bestFit="1" customWidth="1"/>
    <col min="36" max="36" width="7.1640625" style="4"/>
    <col min="37" max="37" width="12.6640625" style="4" bestFit="1" customWidth="1"/>
    <col min="38" max="16384" width="7.1640625" style="4"/>
  </cols>
  <sheetData>
    <row r="1" spans="1:35" ht="19.75" customHeight="1" thickBot="1">
      <c r="A1" s="9" t="s">
        <v>392</v>
      </c>
    </row>
    <row r="2" spans="1:35" s="9" customFormat="1" ht="113" thickBot="1">
      <c r="A2" s="39" t="s">
        <v>393</v>
      </c>
      <c r="B2" s="5" t="s">
        <v>111</v>
      </c>
      <c r="C2" s="6" t="s">
        <v>112</v>
      </c>
      <c r="D2" s="7" t="s">
        <v>113</v>
      </c>
      <c r="E2" s="7" t="s">
        <v>114</v>
      </c>
      <c r="F2" s="7" t="s">
        <v>115</v>
      </c>
      <c r="G2" s="7" t="s">
        <v>116</v>
      </c>
      <c r="H2" s="7" t="s">
        <v>117</v>
      </c>
      <c r="I2" s="7" t="s">
        <v>118</v>
      </c>
      <c r="J2" s="7" t="s">
        <v>119</v>
      </c>
      <c r="K2" s="7" t="s">
        <v>120</v>
      </c>
      <c r="L2" s="7" t="s">
        <v>121</v>
      </c>
      <c r="M2" s="7" t="s">
        <v>122</v>
      </c>
      <c r="N2" s="7" t="s">
        <v>123</v>
      </c>
      <c r="O2" s="7" t="s">
        <v>124</v>
      </c>
      <c r="P2" s="7" t="s">
        <v>125</v>
      </c>
      <c r="Q2" s="7" t="s">
        <v>126</v>
      </c>
      <c r="R2" s="7" t="s">
        <v>127</v>
      </c>
      <c r="S2" s="7" t="s">
        <v>128</v>
      </c>
      <c r="T2" s="7" t="s">
        <v>129</v>
      </c>
      <c r="U2" s="7" t="s">
        <v>130</v>
      </c>
      <c r="V2" s="7" t="s">
        <v>131</v>
      </c>
      <c r="W2" s="7" t="s">
        <v>132</v>
      </c>
      <c r="X2" s="7" t="s">
        <v>133</v>
      </c>
      <c r="Y2" s="7" t="s">
        <v>134</v>
      </c>
      <c r="Z2" s="7" t="s">
        <v>135</v>
      </c>
      <c r="AA2" s="7" t="s">
        <v>136</v>
      </c>
      <c r="AB2" s="7" t="s">
        <v>137</v>
      </c>
      <c r="AC2" s="7" t="s">
        <v>138</v>
      </c>
      <c r="AD2" s="8" t="s">
        <v>139</v>
      </c>
      <c r="AI2" s="43"/>
    </row>
    <row r="3" spans="1:35" s="9" customFormat="1" ht="28">
      <c r="A3" s="10" t="s">
        <v>140</v>
      </c>
      <c r="B3" s="11"/>
      <c r="C3" s="12">
        <v>0</v>
      </c>
      <c r="D3" s="13">
        <v>3221345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25636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13">
        <v>0</v>
      </c>
      <c r="AD3" s="14">
        <f>SUM(C3:AC3)</f>
        <v>3246981</v>
      </c>
      <c r="AI3" s="43"/>
    </row>
    <row r="4" spans="1:35" s="9" customFormat="1">
      <c r="A4" s="10"/>
      <c r="B4" s="15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8"/>
      <c r="AI4" s="43"/>
    </row>
    <row r="5" spans="1:35" s="19" customFormat="1" ht="14">
      <c r="A5" s="10" t="s">
        <v>141</v>
      </c>
      <c r="B5" s="2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4"/>
      <c r="AI5" s="41"/>
    </row>
    <row r="6" spans="1:35" s="19" customFormat="1" ht="14">
      <c r="A6" s="20" t="s">
        <v>142</v>
      </c>
      <c r="B6" s="21" t="s">
        <v>143</v>
      </c>
      <c r="C6" s="12">
        <v>0</v>
      </c>
      <c r="D6" s="13">
        <f>'FY24 PPSEL Supp Summary'!F22</f>
        <v>335738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f>+'FY24 PPSEL Supp Summary'!F207+'FY24 PPSEL Supp Summary'!F206</f>
        <v>302888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4">
        <f t="shared" ref="AD6:AD67" si="0">SUM(C6:AC6)</f>
        <v>638626</v>
      </c>
      <c r="AI6" s="41"/>
    </row>
    <row r="7" spans="1:35" s="19" customFormat="1" ht="14">
      <c r="A7" s="20" t="s">
        <v>144</v>
      </c>
      <c r="B7" s="21" t="s">
        <v>145</v>
      </c>
      <c r="C7" s="12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4">
        <f t="shared" si="0"/>
        <v>0</v>
      </c>
      <c r="AI7" s="41"/>
    </row>
    <row r="8" spans="1:35" s="19" customFormat="1" ht="14">
      <c r="A8" s="20" t="s">
        <v>146</v>
      </c>
      <c r="B8" s="21" t="s">
        <v>147</v>
      </c>
      <c r="C8" s="12">
        <v>0</v>
      </c>
      <c r="D8" s="13">
        <v>0</v>
      </c>
      <c r="E8" s="13">
        <v>0</v>
      </c>
      <c r="F8" s="13">
        <v>0</v>
      </c>
      <c r="G8" s="13">
        <v>0</v>
      </c>
      <c r="H8" s="13">
        <f>'FY24 PPSEL Supp Summary'!F33</f>
        <v>356282.57333333336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4">
        <f t="shared" si="0"/>
        <v>356282.57333333336</v>
      </c>
      <c r="AI8" s="41"/>
    </row>
    <row r="9" spans="1:35" s="19" customFormat="1" ht="14">
      <c r="A9" s="20" t="s">
        <v>148</v>
      </c>
      <c r="B9" s="21" t="s">
        <v>149</v>
      </c>
      <c r="C9" s="12">
        <v>0</v>
      </c>
      <c r="D9" s="13">
        <v>0</v>
      </c>
      <c r="E9" s="13">
        <v>0</v>
      </c>
      <c r="F9" s="13">
        <v>0</v>
      </c>
      <c r="G9" s="13">
        <v>0</v>
      </c>
      <c r="H9" s="13">
        <f>'FY24 PPSEL Supp Summary'!F40</f>
        <v>8377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4">
        <f t="shared" si="0"/>
        <v>8377</v>
      </c>
      <c r="AI9" s="41"/>
    </row>
    <row r="10" spans="1:35" s="19" customFormat="1" ht="14">
      <c r="A10" s="22" t="s">
        <v>150</v>
      </c>
      <c r="B10" s="23"/>
      <c r="C10" s="24">
        <f t="shared" ref="C10:AD10" si="1">SUM(C6:C9)</f>
        <v>0</v>
      </c>
      <c r="D10" s="25">
        <f t="shared" si="1"/>
        <v>335738</v>
      </c>
      <c r="E10" s="25">
        <f t="shared" si="1"/>
        <v>0</v>
      </c>
      <c r="F10" s="25">
        <f t="shared" si="1"/>
        <v>0</v>
      </c>
      <c r="G10" s="25">
        <f t="shared" si="1"/>
        <v>0</v>
      </c>
      <c r="H10" s="25">
        <f t="shared" si="1"/>
        <v>364659.57333333336</v>
      </c>
      <c r="I10" s="25">
        <f t="shared" si="1"/>
        <v>0</v>
      </c>
      <c r="J10" s="25">
        <f t="shared" si="1"/>
        <v>0</v>
      </c>
      <c r="K10" s="25">
        <f t="shared" si="1"/>
        <v>0</v>
      </c>
      <c r="L10" s="25">
        <f t="shared" si="1"/>
        <v>0</v>
      </c>
      <c r="M10" s="25">
        <f t="shared" si="1"/>
        <v>0</v>
      </c>
      <c r="N10" s="25">
        <f t="shared" si="1"/>
        <v>0</v>
      </c>
      <c r="O10" s="25">
        <f t="shared" si="1"/>
        <v>0</v>
      </c>
      <c r="P10" s="25">
        <f t="shared" si="1"/>
        <v>0</v>
      </c>
      <c r="Q10" s="25">
        <f t="shared" si="1"/>
        <v>0</v>
      </c>
      <c r="R10" s="25">
        <f t="shared" si="1"/>
        <v>0</v>
      </c>
      <c r="S10" s="25">
        <f t="shared" si="1"/>
        <v>0</v>
      </c>
      <c r="T10" s="25">
        <f t="shared" si="1"/>
        <v>0</v>
      </c>
      <c r="U10" s="25">
        <f t="shared" si="1"/>
        <v>302888</v>
      </c>
      <c r="V10" s="25">
        <f t="shared" si="1"/>
        <v>0</v>
      </c>
      <c r="W10" s="25">
        <f t="shared" si="1"/>
        <v>0</v>
      </c>
      <c r="X10" s="25">
        <f t="shared" si="1"/>
        <v>0</v>
      </c>
      <c r="Y10" s="25">
        <f t="shared" si="1"/>
        <v>0</v>
      </c>
      <c r="Z10" s="25">
        <f t="shared" si="1"/>
        <v>0</v>
      </c>
      <c r="AA10" s="25">
        <f t="shared" si="1"/>
        <v>0</v>
      </c>
      <c r="AB10" s="25">
        <f t="shared" si="1"/>
        <v>0</v>
      </c>
      <c r="AC10" s="25">
        <f t="shared" si="1"/>
        <v>0</v>
      </c>
      <c r="AD10" s="26">
        <f t="shared" si="1"/>
        <v>1003285.5733333334</v>
      </c>
      <c r="AI10" s="41"/>
    </row>
    <row r="11" spans="1:35" s="19" customFormat="1">
      <c r="A11" s="10"/>
      <c r="B11" s="2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14"/>
      <c r="AI11" s="41"/>
    </row>
    <row r="12" spans="1:35" s="19" customFormat="1" ht="14">
      <c r="A12" s="22" t="s">
        <v>151</v>
      </c>
      <c r="B12" s="23"/>
      <c r="C12" s="24">
        <f t="shared" ref="C12:AD12" si="2">C3+C10</f>
        <v>0</v>
      </c>
      <c r="D12" s="25">
        <f t="shared" si="2"/>
        <v>3557083</v>
      </c>
      <c r="E12" s="25">
        <f t="shared" si="2"/>
        <v>0</v>
      </c>
      <c r="F12" s="25">
        <f t="shared" si="2"/>
        <v>0</v>
      </c>
      <c r="G12" s="25">
        <f t="shared" si="2"/>
        <v>0</v>
      </c>
      <c r="H12" s="25">
        <f t="shared" si="2"/>
        <v>364659.57333333336</v>
      </c>
      <c r="I12" s="25">
        <f t="shared" si="2"/>
        <v>0</v>
      </c>
      <c r="J12" s="25">
        <f t="shared" si="2"/>
        <v>0</v>
      </c>
      <c r="K12" s="25">
        <f t="shared" si="2"/>
        <v>0</v>
      </c>
      <c r="L12" s="25">
        <f t="shared" si="2"/>
        <v>0</v>
      </c>
      <c r="M12" s="25">
        <f t="shared" si="2"/>
        <v>0</v>
      </c>
      <c r="N12" s="25">
        <f t="shared" si="2"/>
        <v>0</v>
      </c>
      <c r="O12" s="25">
        <f t="shared" si="2"/>
        <v>0</v>
      </c>
      <c r="P12" s="25">
        <f t="shared" si="2"/>
        <v>0</v>
      </c>
      <c r="Q12" s="25">
        <f t="shared" si="2"/>
        <v>0</v>
      </c>
      <c r="R12" s="25">
        <f t="shared" si="2"/>
        <v>0</v>
      </c>
      <c r="S12" s="25">
        <f t="shared" si="2"/>
        <v>0</v>
      </c>
      <c r="T12" s="25">
        <f t="shared" si="2"/>
        <v>0</v>
      </c>
      <c r="U12" s="25">
        <f t="shared" si="2"/>
        <v>328524</v>
      </c>
      <c r="V12" s="25">
        <f t="shared" si="2"/>
        <v>0</v>
      </c>
      <c r="W12" s="25">
        <f t="shared" si="2"/>
        <v>0</v>
      </c>
      <c r="X12" s="25">
        <f t="shared" si="2"/>
        <v>0</v>
      </c>
      <c r="Y12" s="25">
        <f t="shared" si="2"/>
        <v>0</v>
      </c>
      <c r="Z12" s="25">
        <f t="shared" si="2"/>
        <v>0</v>
      </c>
      <c r="AA12" s="25">
        <f t="shared" si="2"/>
        <v>0</v>
      </c>
      <c r="AB12" s="25">
        <f t="shared" si="2"/>
        <v>0</v>
      </c>
      <c r="AC12" s="25">
        <f t="shared" si="2"/>
        <v>0</v>
      </c>
      <c r="AD12" s="26">
        <f t="shared" si="2"/>
        <v>4250266.5733333332</v>
      </c>
      <c r="AI12" s="41"/>
    </row>
    <row r="13" spans="1:35" s="19" customFormat="1" ht="14">
      <c r="A13" s="10" t="s">
        <v>152</v>
      </c>
      <c r="B13" s="2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14"/>
      <c r="AI13" s="41"/>
    </row>
    <row r="14" spans="1:35" s="19" customFormat="1" ht="14">
      <c r="A14" s="29" t="s">
        <v>153</v>
      </c>
      <c r="B14" s="21" t="s">
        <v>154</v>
      </c>
      <c r="C14" s="30">
        <v>0</v>
      </c>
      <c r="D14" s="31">
        <f>'FY24 PPSEL Supp Summary'!F42</f>
        <v>4070099.25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14">
        <f t="shared" si="0"/>
        <v>4070099.25</v>
      </c>
      <c r="AI14" s="41"/>
    </row>
    <row r="15" spans="1:35" s="19" customFormat="1" ht="14">
      <c r="A15" s="29" t="s">
        <v>155</v>
      </c>
      <c r="B15" s="21" t="s">
        <v>156</v>
      </c>
      <c r="C15" s="12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4">
        <f t="shared" si="0"/>
        <v>0</v>
      </c>
      <c r="AI15" s="41"/>
    </row>
    <row r="16" spans="1:35" s="19" customFormat="1" ht="42">
      <c r="A16" s="29" t="s">
        <v>157</v>
      </c>
      <c r="B16" s="21" t="s">
        <v>158</v>
      </c>
      <c r="C16" s="12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4">
        <f t="shared" si="0"/>
        <v>0</v>
      </c>
      <c r="AI16" s="41"/>
    </row>
    <row r="17" spans="1:37" s="19" customFormat="1">
      <c r="A17" s="10"/>
      <c r="B17" s="2"/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14"/>
      <c r="AI17" s="41"/>
    </row>
    <row r="18" spans="1:37" s="19" customFormat="1" ht="42">
      <c r="A18" s="22" t="s">
        <v>159</v>
      </c>
      <c r="B18" s="23"/>
      <c r="C18" s="24">
        <f t="shared" ref="C18:AD18" si="3">C12+C14+C15+C16</f>
        <v>0</v>
      </c>
      <c r="D18" s="25">
        <f t="shared" si="3"/>
        <v>7627182.25</v>
      </c>
      <c r="E18" s="25">
        <f t="shared" si="3"/>
        <v>0</v>
      </c>
      <c r="F18" s="25">
        <f t="shared" si="3"/>
        <v>0</v>
      </c>
      <c r="G18" s="25">
        <f t="shared" si="3"/>
        <v>0</v>
      </c>
      <c r="H18" s="25">
        <f t="shared" si="3"/>
        <v>364659.57333333336</v>
      </c>
      <c r="I18" s="25">
        <f t="shared" si="3"/>
        <v>0</v>
      </c>
      <c r="J18" s="25">
        <f t="shared" si="3"/>
        <v>0</v>
      </c>
      <c r="K18" s="25">
        <f t="shared" si="3"/>
        <v>0</v>
      </c>
      <c r="L18" s="25">
        <f t="shared" si="3"/>
        <v>0</v>
      </c>
      <c r="M18" s="25">
        <f t="shared" si="3"/>
        <v>0</v>
      </c>
      <c r="N18" s="25">
        <f t="shared" si="3"/>
        <v>0</v>
      </c>
      <c r="O18" s="25">
        <f t="shared" si="3"/>
        <v>0</v>
      </c>
      <c r="P18" s="25">
        <f t="shared" si="3"/>
        <v>0</v>
      </c>
      <c r="Q18" s="25">
        <f t="shared" si="3"/>
        <v>0</v>
      </c>
      <c r="R18" s="25">
        <f t="shared" si="3"/>
        <v>0</v>
      </c>
      <c r="S18" s="25">
        <f t="shared" si="3"/>
        <v>0</v>
      </c>
      <c r="T18" s="25">
        <f t="shared" si="3"/>
        <v>0</v>
      </c>
      <c r="U18" s="25">
        <f t="shared" si="3"/>
        <v>328524</v>
      </c>
      <c r="V18" s="25">
        <f t="shared" si="3"/>
        <v>0</v>
      </c>
      <c r="W18" s="25">
        <f t="shared" si="3"/>
        <v>0</v>
      </c>
      <c r="X18" s="25">
        <f t="shared" si="3"/>
        <v>0</v>
      </c>
      <c r="Y18" s="25">
        <f t="shared" si="3"/>
        <v>0</v>
      </c>
      <c r="Z18" s="25">
        <f t="shared" si="3"/>
        <v>0</v>
      </c>
      <c r="AA18" s="25">
        <f t="shared" si="3"/>
        <v>0</v>
      </c>
      <c r="AB18" s="25">
        <f t="shared" si="3"/>
        <v>0</v>
      </c>
      <c r="AC18" s="25">
        <f t="shared" si="3"/>
        <v>0</v>
      </c>
      <c r="AD18" s="26">
        <f t="shared" si="3"/>
        <v>8320365.8233333332</v>
      </c>
      <c r="AF18" s="3"/>
      <c r="AI18" s="41"/>
    </row>
    <row r="19" spans="1:37" s="19" customFormat="1">
      <c r="A19" s="10"/>
      <c r="B19" s="2"/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14"/>
      <c r="AI19" s="41"/>
    </row>
    <row r="20" spans="1:37" s="19" customFormat="1" ht="14">
      <c r="A20" s="10" t="s">
        <v>24</v>
      </c>
      <c r="B20" s="2"/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14"/>
      <c r="AI20" s="41"/>
    </row>
    <row r="21" spans="1:37" s="19" customFormat="1" ht="14">
      <c r="A21" s="10" t="s">
        <v>160</v>
      </c>
      <c r="B21" s="2"/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14"/>
      <c r="AI21" s="41"/>
    </row>
    <row r="22" spans="1:37" s="19" customFormat="1" ht="14">
      <c r="A22" s="20" t="s">
        <v>161</v>
      </c>
      <c r="B22" s="21" t="s">
        <v>162</v>
      </c>
      <c r="C22" s="12">
        <v>0</v>
      </c>
      <c r="D22" s="40">
        <f>'FY24 PPSEL Supp Summary'!F49+'FY24 PPSEL Supp Summary'!F50+'FY24 PPSEL Supp Summary'!F51+'FY24 PPSEL Supp Summary'!F52</f>
        <v>1304831.43</v>
      </c>
      <c r="E22" s="40">
        <v>0</v>
      </c>
      <c r="F22" s="40">
        <v>0</v>
      </c>
      <c r="G22" s="40">
        <v>0</v>
      </c>
      <c r="H22" s="40">
        <f>'FY24 PPSEL Supp Summary'!F53+'FY24 PPSEL Supp Summary'!F54+'FY24 PPSEL Supp Summary'!F56+'FY24 PPSEL Supp Summary'!F59-251218</f>
        <v>238880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4">
        <f t="shared" si="0"/>
        <v>1543711.43</v>
      </c>
      <c r="AF22" s="3"/>
      <c r="AI22" s="41"/>
      <c r="AK22" s="44"/>
    </row>
    <row r="23" spans="1:37" s="19" customFormat="1" ht="14">
      <c r="A23" s="20" t="s">
        <v>163</v>
      </c>
      <c r="B23" s="21" t="s">
        <v>164</v>
      </c>
      <c r="C23" s="12">
        <v>0</v>
      </c>
      <c r="D23" s="40">
        <f>'FY24 PPSEL Supp Summary'!F116-D32-D41-D50-D59-D68-D76-D94-D103-D112-D158</f>
        <v>766463.84000000008</v>
      </c>
      <c r="E23" s="40">
        <v>0</v>
      </c>
      <c r="F23" s="40">
        <v>0</v>
      </c>
      <c r="G23" s="40">
        <v>0</v>
      </c>
      <c r="H23" s="40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4">
        <f t="shared" si="0"/>
        <v>766463.84000000008</v>
      </c>
      <c r="AF23" s="3"/>
      <c r="AI23" s="41"/>
      <c r="AK23" s="44"/>
    </row>
    <row r="24" spans="1:37" s="19" customFormat="1" ht="14">
      <c r="A24" s="20" t="s">
        <v>165</v>
      </c>
      <c r="B24" s="21" t="s">
        <v>166</v>
      </c>
      <c r="C24" s="12">
        <v>0</v>
      </c>
      <c r="D24" s="40">
        <f>'FY24 PPSEL Supp Summary'!F120+54143.96</f>
        <v>112393.95999999999</v>
      </c>
      <c r="E24" s="40">
        <v>0</v>
      </c>
      <c r="F24" s="40">
        <v>0</v>
      </c>
      <c r="G24" s="40">
        <v>0</v>
      </c>
      <c r="H24" s="40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4">
        <f t="shared" si="0"/>
        <v>112393.95999999999</v>
      </c>
      <c r="AF24" s="3"/>
      <c r="AI24" s="41"/>
      <c r="AK24" s="44"/>
    </row>
    <row r="25" spans="1:37" s="19" customFormat="1" ht="14">
      <c r="A25" s="20" t="s">
        <v>167</v>
      </c>
      <c r="B25" s="21" t="s">
        <v>168</v>
      </c>
      <c r="C25" s="12">
        <v>0</v>
      </c>
      <c r="D25" s="13">
        <f>'FY24 PPSEL Supp Summary'!F163+'FY24 PPSEL Supp Summary'!F164+'FY24 PPSEL Supp Summary'!F167+'FY24 PPSEL Supp Summary'!F168+'FY24 PPSEL Supp Summary'!F169+'FY24 PPSEL Supp Summary'!F172+'FY24 PPSEL Supp Summary'!F173+'FY24 PPSEL Supp Summary'!F178+'FY24 PPSEL Supp Summary'!F182+'FY24 PPSEL Supp Summary'!F183</f>
        <v>119500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4">
        <f t="shared" si="0"/>
        <v>119500</v>
      </c>
      <c r="AF25" s="3"/>
      <c r="AI25" s="41"/>
      <c r="AK25" s="44"/>
    </row>
    <row r="26" spans="1:37" s="19" customFormat="1" ht="14">
      <c r="A26" s="20" t="s">
        <v>169</v>
      </c>
      <c r="B26" s="21" t="s">
        <v>170</v>
      </c>
      <c r="C26" s="12">
        <v>0</v>
      </c>
      <c r="D26" s="13">
        <f>'FY24 PPSEL Supp Summary'!F189</f>
        <v>40000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4">
        <f t="shared" si="0"/>
        <v>40000</v>
      </c>
      <c r="AF26" s="3"/>
      <c r="AI26" s="41"/>
      <c r="AK26" s="44"/>
    </row>
    <row r="27" spans="1:37" s="19" customFormat="1" ht="14">
      <c r="A27" s="20" t="s">
        <v>171</v>
      </c>
      <c r="B27" s="21" t="s">
        <v>172</v>
      </c>
      <c r="C27" s="12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4">
        <f t="shared" si="0"/>
        <v>0</v>
      </c>
    </row>
    <row r="28" spans="1:37" s="19" customFormat="1" ht="14">
      <c r="A28" s="32" t="s">
        <v>173</v>
      </c>
      <c r="B28" s="23"/>
      <c r="C28" s="24">
        <f t="shared" ref="C28:AD28" si="4">SUM(C22:C27)</f>
        <v>0</v>
      </c>
      <c r="D28" s="25">
        <f t="shared" si="4"/>
        <v>2343189.23</v>
      </c>
      <c r="E28" s="25">
        <f t="shared" si="4"/>
        <v>0</v>
      </c>
      <c r="F28" s="25">
        <f t="shared" si="4"/>
        <v>0</v>
      </c>
      <c r="G28" s="25">
        <f t="shared" si="4"/>
        <v>0</v>
      </c>
      <c r="H28" s="25">
        <f t="shared" si="4"/>
        <v>238880</v>
      </c>
      <c r="I28" s="25">
        <f t="shared" si="4"/>
        <v>0</v>
      </c>
      <c r="J28" s="25">
        <f t="shared" ref="J28" si="5">SUM(J22:J27)</f>
        <v>0</v>
      </c>
      <c r="K28" s="25">
        <f t="shared" si="4"/>
        <v>0</v>
      </c>
      <c r="L28" s="25">
        <f t="shared" si="4"/>
        <v>0</v>
      </c>
      <c r="M28" s="25">
        <f t="shared" si="4"/>
        <v>0</v>
      </c>
      <c r="N28" s="25">
        <f t="shared" si="4"/>
        <v>0</v>
      </c>
      <c r="O28" s="25">
        <f t="shared" si="4"/>
        <v>0</v>
      </c>
      <c r="P28" s="25">
        <f t="shared" si="4"/>
        <v>0</v>
      </c>
      <c r="Q28" s="25">
        <f t="shared" si="4"/>
        <v>0</v>
      </c>
      <c r="R28" s="25">
        <f t="shared" si="4"/>
        <v>0</v>
      </c>
      <c r="S28" s="25">
        <f t="shared" si="4"/>
        <v>0</v>
      </c>
      <c r="T28" s="25">
        <f t="shared" si="4"/>
        <v>0</v>
      </c>
      <c r="U28" s="25">
        <f t="shared" si="4"/>
        <v>0</v>
      </c>
      <c r="V28" s="25">
        <f t="shared" si="4"/>
        <v>0</v>
      </c>
      <c r="W28" s="25">
        <f t="shared" si="4"/>
        <v>0</v>
      </c>
      <c r="X28" s="25">
        <f t="shared" si="4"/>
        <v>0</v>
      </c>
      <c r="Y28" s="25">
        <f t="shared" si="4"/>
        <v>0</v>
      </c>
      <c r="Z28" s="25">
        <f t="shared" si="4"/>
        <v>0</v>
      </c>
      <c r="AA28" s="25">
        <f t="shared" si="4"/>
        <v>0</v>
      </c>
      <c r="AB28" s="25">
        <f t="shared" si="4"/>
        <v>0</v>
      </c>
      <c r="AC28" s="25">
        <f t="shared" si="4"/>
        <v>0</v>
      </c>
      <c r="AD28" s="26">
        <f t="shared" si="4"/>
        <v>2582069.23</v>
      </c>
      <c r="AF28" s="3"/>
      <c r="AG28" s="3"/>
      <c r="AI28" s="41"/>
      <c r="AK28" s="44"/>
    </row>
    <row r="29" spans="1:37" s="19" customFormat="1" ht="14">
      <c r="A29" s="10" t="s">
        <v>174</v>
      </c>
      <c r="B29" s="2"/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14"/>
      <c r="AI29" s="41"/>
    </row>
    <row r="30" spans="1:37" s="19" customFormat="1" ht="14">
      <c r="A30" s="10" t="s">
        <v>175</v>
      </c>
      <c r="B30" s="2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14"/>
      <c r="AI30" s="41"/>
    </row>
    <row r="31" spans="1:37" s="19" customFormat="1" ht="14">
      <c r="A31" s="20" t="s">
        <v>161</v>
      </c>
      <c r="B31" s="21" t="s">
        <v>162</v>
      </c>
      <c r="C31" s="12">
        <v>0</v>
      </c>
      <c r="D31" s="13">
        <f>'FY24 PPSEL Supp Summary'!F56</f>
        <v>66294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4">
        <f t="shared" si="0"/>
        <v>66294</v>
      </c>
      <c r="AI31" s="41"/>
    </row>
    <row r="32" spans="1:37" s="19" customFormat="1" ht="14">
      <c r="A32" s="20" t="s">
        <v>163</v>
      </c>
      <c r="B32" s="21" t="s">
        <v>164</v>
      </c>
      <c r="C32" s="12">
        <v>0</v>
      </c>
      <c r="D32" s="13">
        <f>'FY24 PPSEL Supp Summary'!F69+'FY24 PPSEL Supp Summary'!F79+'FY24 PPSEL Supp Summary'!F90+'FY24 PPSEL Supp Summary'!F101+'FY24 PPSEL Supp Summary'!F110</f>
        <v>34748.04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4">
        <f t="shared" si="0"/>
        <v>34748.04</v>
      </c>
      <c r="AI32" s="41"/>
    </row>
    <row r="33" spans="1:35" s="19" customFormat="1" ht="14">
      <c r="A33" s="20" t="s">
        <v>165</v>
      </c>
      <c r="B33" s="21" t="s">
        <v>166</v>
      </c>
      <c r="C33" s="12">
        <v>0</v>
      </c>
      <c r="D33" s="40">
        <f>'FY24 PPSEL Supp Summary'!F126+124640</f>
        <v>126390</v>
      </c>
      <c r="E33" s="13">
        <v>0</v>
      </c>
      <c r="F33" s="13">
        <v>0</v>
      </c>
      <c r="G33" s="13">
        <v>0</v>
      </c>
      <c r="H33" s="40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4">
        <f t="shared" si="0"/>
        <v>126390</v>
      </c>
      <c r="AI33" s="41"/>
    </row>
    <row r="34" spans="1:35" s="19" customFormat="1" ht="14">
      <c r="A34" s="20" t="s">
        <v>167</v>
      </c>
      <c r="B34" s="21" t="s">
        <v>168</v>
      </c>
      <c r="C34" s="12">
        <v>0</v>
      </c>
      <c r="D34" s="13">
        <f>'FY24 PPSEL Supp Summary'!F174</f>
        <v>5000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4">
        <f t="shared" si="0"/>
        <v>5000</v>
      </c>
      <c r="AI34" s="41"/>
    </row>
    <row r="35" spans="1:35" s="19" customFormat="1" ht="14">
      <c r="A35" s="20" t="s">
        <v>169</v>
      </c>
      <c r="B35" s="21" t="s">
        <v>170</v>
      </c>
      <c r="C35" s="12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4">
        <f t="shared" si="0"/>
        <v>0</v>
      </c>
      <c r="AI35" s="41"/>
    </row>
    <row r="36" spans="1:35" s="19" customFormat="1" ht="14">
      <c r="A36" s="20" t="s">
        <v>171</v>
      </c>
      <c r="B36" s="21" t="s">
        <v>172</v>
      </c>
      <c r="C36" s="12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4">
        <f t="shared" si="0"/>
        <v>0</v>
      </c>
      <c r="AI36" s="41"/>
    </row>
    <row r="37" spans="1:35" s="19" customFormat="1" ht="14">
      <c r="A37" s="32" t="s">
        <v>176</v>
      </c>
      <c r="B37" s="23"/>
      <c r="C37" s="24">
        <f t="shared" ref="C37:AD37" si="6">SUM(C31:C36)</f>
        <v>0</v>
      </c>
      <c r="D37" s="25">
        <f t="shared" si="6"/>
        <v>232432.04</v>
      </c>
      <c r="E37" s="25">
        <f t="shared" si="6"/>
        <v>0</v>
      </c>
      <c r="F37" s="25">
        <f t="shared" si="6"/>
        <v>0</v>
      </c>
      <c r="G37" s="25">
        <f t="shared" si="6"/>
        <v>0</v>
      </c>
      <c r="H37" s="25">
        <f t="shared" si="6"/>
        <v>0</v>
      </c>
      <c r="I37" s="25">
        <f t="shared" si="6"/>
        <v>0</v>
      </c>
      <c r="J37" s="25">
        <f t="shared" si="6"/>
        <v>0</v>
      </c>
      <c r="K37" s="25">
        <f t="shared" si="6"/>
        <v>0</v>
      </c>
      <c r="L37" s="25">
        <f t="shared" si="6"/>
        <v>0</v>
      </c>
      <c r="M37" s="25">
        <f t="shared" si="6"/>
        <v>0</v>
      </c>
      <c r="N37" s="25">
        <f t="shared" si="6"/>
        <v>0</v>
      </c>
      <c r="O37" s="25">
        <f t="shared" si="6"/>
        <v>0</v>
      </c>
      <c r="P37" s="25">
        <f t="shared" si="6"/>
        <v>0</v>
      </c>
      <c r="Q37" s="25">
        <f t="shared" si="6"/>
        <v>0</v>
      </c>
      <c r="R37" s="25">
        <f t="shared" si="6"/>
        <v>0</v>
      </c>
      <c r="S37" s="25">
        <f t="shared" si="6"/>
        <v>0</v>
      </c>
      <c r="T37" s="25">
        <f t="shared" si="6"/>
        <v>0</v>
      </c>
      <c r="U37" s="25">
        <f t="shared" si="6"/>
        <v>0</v>
      </c>
      <c r="V37" s="25">
        <f t="shared" si="6"/>
        <v>0</v>
      </c>
      <c r="W37" s="25">
        <f t="shared" si="6"/>
        <v>0</v>
      </c>
      <c r="X37" s="25">
        <f t="shared" si="6"/>
        <v>0</v>
      </c>
      <c r="Y37" s="25">
        <f t="shared" si="6"/>
        <v>0</v>
      </c>
      <c r="Z37" s="25">
        <f t="shared" si="6"/>
        <v>0</v>
      </c>
      <c r="AA37" s="25">
        <f t="shared" si="6"/>
        <v>0</v>
      </c>
      <c r="AB37" s="25">
        <f t="shared" si="6"/>
        <v>0</v>
      </c>
      <c r="AC37" s="25">
        <f t="shared" si="6"/>
        <v>0</v>
      </c>
      <c r="AD37" s="26">
        <f t="shared" si="6"/>
        <v>232432.04</v>
      </c>
      <c r="AI37" s="41"/>
    </row>
    <row r="38" spans="1:35" s="19" customFormat="1">
      <c r="A38" s="10"/>
      <c r="B38" s="2"/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14"/>
      <c r="AI38" s="41"/>
    </row>
    <row r="39" spans="1:35" s="19" customFormat="1" ht="14">
      <c r="A39" s="10" t="s">
        <v>177</v>
      </c>
      <c r="B39" s="2"/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14"/>
      <c r="AI39" s="41"/>
    </row>
    <row r="40" spans="1:35" s="19" customFormat="1" ht="14">
      <c r="A40" s="20" t="s">
        <v>161</v>
      </c>
      <c r="B40" s="21" t="s">
        <v>162</v>
      </c>
      <c r="C40" s="12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4">
        <f t="shared" si="0"/>
        <v>0</v>
      </c>
      <c r="AI40" s="41"/>
    </row>
    <row r="41" spans="1:35" s="19" customFormat="1" ht="14">
      <c r="A41" s="20" t="s">
        <v>163</v>
      </c>
      <c r="B41" s="21" t="s">
        <v>164</v>
      </c>
      <c r="C41" s="12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4">
        <f t="shared" si="0"/>
        <v>0</v>
      </c>
      <c r="AI41" s="41"/>
    </row>
    <row r="42" spans="1:35" s="19" customFormat="1" ht="14">
      <c r="A42" s="20" t="s">
        <v>165</v>
      </c>
      <c r="B42" s="21" t="s">
        <v>166</v>
      </c>
      <c r="C42" s="12">
        <v>0</v>
      </c>
      <c r="D42" s="40">
        <f>'FY24 PPSEL Supp Summary'!F119+'FY24 PPSEL Supp Summary'!F129+'FY24 PPSEL Supp Summary'!F133+'FY24 PPSEL Supp Summary'!F152+'FY24 PPSEL Supp Summary'!F155+'FY24 PPSEL Supp Summary'!F156</f>
        <v>59100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4">
        <f t="shared" si="0"/>
        <v>59100</v>
      </c>
      <c r="AI42" s="41"/>
    </row>
    <row r="43" spans="1:35" s="19" customFormat="1" ht="14">
      <c r="A43" s="20" t="s">
        <v>167</v>
      </c>
      <c r="B43" s="21" t="s">
        <v>168</v>
      </c>
      <c r="C43" s="12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4">
        <f t="shared" si="0"/>
        <v>0</v>
      </c>
      <c r="AI43" s="41"/>
    </row>
    <row r="44" spans="1:35" s="19" customFormat="1" ht="14">
      <c r="A44" s="20" t="s">
        <v>169</v>
      </c>
      <c r="B44" s="21" t="s">
        <v>170</v>
      </c>
      <c r="C44" s="12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4">
        <f t="shared" si="0"/>
        <v>0</v>
      </c>
      <c r="AI44" s="41"/>
    </row>
    <row r="45" spans="1:35" s="19" customFormat="1" ht="14">
      <c r="A45" s="20" t="s">
        <v>171</v>
      </c>
      <c r="B45" s="21" t="s">
        <v>172</v>
      </c>
      <c r="C45" s="12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4">
        <f t="shared" si="0"/>
        <v>0</v>
      </c>
      <c r="AI45" s="41"/>
    </row>
    <row r="46" spans="1:35" s="19" customFormat="1" ht="14">
      <c r="A46" s="32" t="s">
        <v>178</v>
      </c>
      <c r="B46" s="23"/>
      <c r="C46" s="24">
        <f t="shared" ref="C46:AD46" si="7">SUM(C40:C45)</f>
        <v>0</v>
      </c>
      <c r="D46" s="25">
        <f t="shared" si="7"/>
        <v>59100</v>
      </c>
      <c r="E46" s="25">
        <f t="shared" si="7"/>
        <v>0</v>
      </c>
      <c r="F46" s="25">
        <f t="shared" si="7"/>
        <v>0</v>
      </c>
      <c r="G46" s="25">
        <f t="shared" si="7"/>
        <v>0</v>
      </c>
      <c r="H46" s="25">
        <f t="shared" si="7"/>
        <v>0</v>
      </c>
      <c r="I46" s="25">
        <f t="shared" si="7"/>
        <v>0</v>
      </c>
      <c r="J46" s="25">
        <f t="shared" ref="J46" si="8">SUM(J40:J45)</f>
        <v>0</v>
      </c>
      <c r="K46" s="25">
        <f t="shared" si="7"/>
        <v>0</v>
      </c>
      <c r="L46" s="25">
        <f t="shared" si="7"/>
        <v>0</v>
      </c>
      <c r="M46" s="25">
        <f t="shared" si="7"/>
        <v>0</v>
      </c>
      <c r="N46" s="25">
        <f t="shared" si="7"/>
        <v>0</v>
      </c>
      <c r="O46" s="25">
        <f t="shared" si="7"/>
        <v>0</v>
      </c>
      <c r="P46" s="25">
        <f t="shared" si="7"/>
        <v>0</v>
      </c>
      <c r="Q46" s="25">
        <f t="shared" si="7"/>
        <v>0</v>
      </c>
      <c r="R46" s="25">
        <f t="shared" si="7"/>
        <v>0</v>
      </c>
      <c r="S46" s="25">
        <f t="shared" si="7"/>
        <v>0</v>
      </c>
      <c r="T46" s="25">
        <f t="shared" si="7"/>
        <v>0</v>
      </c>
      <c r="U46" s="25">
        <f t="shared" si="7"/>
        <v>0</v>
      </c>
      <c r="V46" s="25">
        <f t="shared" si="7"/>
        <v>0</v>
      </c>
      <c r="W46" s="25">
        <f t="shared" si="7"/>
        <v>0</v>
      </c>
      <c r="X46" s="25">
        <f t="shared" si="7"/>
        <v>0</v>
      </c>
      <c r="Y46" s="25">
        <f t="shared" si="7"/>
        <v>0</v>
      </c>
      <c r="Z46" s="25">
        <f t="shared" si="7"/>
        <v>0</v>
      </c>
      <c r="AA46" s="25">
        <f t="shared" si="7"/>
        <v>0</v>
      </c>
      <c r="AB46" s="25">
        <f t="shared" si="7"/>
        <v>0</v>
      </c>
      <c r="AC46" s="25">
        <f t="shared" si="7"/>
        <v>0</v>
      </c>
      <c r="AD46" s="26">
        <f t="shared" si="7"/>
        <v>59100</v>
      </c>
      <c r="AI46" s="41"/>
    </row>
    <row r="47" spans="1:35" s="19" customFormat="1">
      <c r="A47" s="10"/>
      <c r="B47" s="2"/>
      <c r="C47" s="27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14"/>
      <c r="AI47" s="41"/>
    </row>
    <row r="48" spans="1:35" s="19" customFormat="1" ht="28">
      <c r="A48" s="10" t="s">
        <v>179</v>
      </c>
      <c r="B48" s="2"/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14"/>
      <c r="AI48" s="41"/>
    </row>
    <row r="49" spans="1:35" s="19" customFormat="1" ht="14">
      <c r="A49" s="20" t="s">
        <v>161</v>
      </c>
      <c r="B49" s="21" t="s">
        <v>162</v>
      </c>
      <c r="C49" s="12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4">
        <f t="shared" si="0"/>
        <v>0</v>
      </c>
      <c r="AI49" s="41"/>
    </row>
    <row r="50" spans="1:35" s="19" customFormat="1" ht="14">
      <c r="A50" s="20" t="s">
        <v>163</v>
      </c>
      <c r="B50" s="21" t="s">
        <v>164</v>
      </c>
      <c r="C50" s="12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4">
        <f t="shared" si="0"/>
        <v>0</v>
      </c>
      <c r="AI50" s="41"/>
    </row>
    <row r="51" spans="1:35" s="19" customFormat="1" ht="14">
      <c r="A51" s="20" t="s">
        <v>165</v>
      </c>
      <c r="B51" s="21" t="s">
        <v>166</v>
      </c>
      <c r="C51" s="12">
        <v>0</v>
      </c>
      <c r="D51" s="40">
        <f>'FY24 PPSEL Supp Summary'!F121+'FY24 PPSEL Supp Summary'!F122+'FY24 PPSEL Supp Summary'!F135+'FY24 PPSEL Supp Summary'!F136+127200</f>
        <v>236484</v>
      </c>
      <c r="E51" s="13">
        <v>0</v>
      </c>
      <c r="F51" s="13">
        <v>0</v>
      </c>
      <c r="G51" s="13">
        <v>0</v>
      </c>
      <c r="H51" s="40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4">
        <f t="shared" si="0"/>
        <v>236484</v>
      </c>
      <c r="AI51" s="41"/>
    </row>
    <row r="52" spans="1:35" s="19" customFormat="1" ht="14">
      <c r="A52" s="20" t="s">
        <v>167</v>
      </c>
      <c r="B52" s="21" t="s">
        <v>168</v>
      </c>
      <c r="C52" s="12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4">
        <f t="shared" si="0"/>
        <v>0</v>
      </c>
      <c r="AI52" s="41"/>
    </row>
    <row r="53" spans="1:35" s="19" customFormat="1" ht="14">
      <c r="A53" s="20" t="s">
        <v>169</v>
      </c>
      <c r="B53" s="21" t="s">
        <v>170</v>
      </c>
      <c r="C53" s="12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4">
        <f t="shared" si="0"/>
        <v>0</v>
      </c>
      <c r="AI53" s="41"/>
    </row>
    <row r="54" spans="1:35" s="19" customFormat="1" ht="14">
      <c r="A54" s="20" t="s">
        <v>171</v>
      </c>
      <c r="B54" s="21" t="s">
        <v>172</v>
      </c>
      <c r="C54" s="12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4">
        <f t="shared" si="0"/>
        <v>0</v>
      </c>
      <c r="AI54" s="41"/>
    </row>
    <row r="55" spans="1:35" s="19" customFormat="1" ht="14">
      <c r="A55" s="32" t="s">
        <v>180</v>
      </c>
      <c r="B55" s="23"/>
      <c r="C55" s="24">
        <f t="shared" ref="C55:AD55" si="9">SUM(C49:C54)</f>
        <v>0</v>
      </c>
      <c r="D55" s="25">
        <f t="shared" si="9"/>
        <v>236484</v>
      </c>
      <c r="E55" s="25">
        <f t="shared" si="9"/>
        <v>0</v>
      </c>
      <c r="F55" s="25">
        <f t="shared" si="9"/>
        <v>0</v>
      </c>
      <c r="G55" s="25">
        <f t="shared" si="9"/>
        <v>0</v>
      </c>
      <c r="H55" s="25">
        <f t="shared" si="9"/>
        <v>0</v>
      </c>
      <c r="I55" s="25">
        <f t="shared" si="9"/>
        <v>0</v>
      </c>
      <c r="J55" s="25">
        <f t="shared" ref="J55" si="10">SUM(J49:J54)</f>
        <v>0</v>
      </c>
      <c r="K55" s="25">
        <f t="shared" si="9"/>
        <v>0</v>
      </c>
      <c r="L55" s="25">
        <f t="shared" si="9"/>
        <v>0</v>
      </c>
      <c r="M55" s="25">
        <f t="shared" si="9"/>
        <v>0</v>
      </c>
      <c r="N55" s="25">
        <f t="shared" si="9"/>
        <v>0</v>
      </c>
      <c r="O55" s="25">
        <f t="shared" si="9"/>
        <v>0</v>
      </c>
      <c r="P55" s="25">
        <f t="shared" si="9"/>
        <v>0</v>
      </c>
      <c r="Q55" s="25">
        <f t="shared" si="9"/>
        <v>0</v>
      </c>
      <c r="R55" s="25">
        <f t="shared" si="9"/>
        <v>0</v>
      </c>
      <c r="S55" s="25">
        <f t="shared" si="9"/>
        <v>0</v>
      </c>
      <c r="T55" s="25">
        <f t="shared" si="9"/>
        <v>0</v>
      </c>
      <c r="U55" s="25">
        <f t="shared" si="9"/>
        <v>0</v>
      </c>
      <c r="V55" s="25">
        <f t="shared" si="9"/>
        <v>0</v>
      </c>
      <c r="W55" s="25">
        <f t="shared" si="9"/>
        <v>0</v>
      </c>
      <c r="X55" s="25">
        <f t="shared" si="9"/>
        <v>0</v>
      </c>
      <c r="Y55" s="25">
        <f t="shared" si="9"/>
        <v>0</v>
      </c>
      <c r="Z55" s="25">
        <f t="shared" si="9"/>
        <v>0</v>
      </c>
      <c r="AA55" s="25">
        <f t="shared" si="9"/>
        <v>0</v>
      </c>
      <c r="AB55" s="25">
        <f t="shared" si="9"/>
        <v>0</v>
      </c>
      <c r="AC55" s="25">
        <f t="shared" si="9"/>
        <v>0</v>
      </c>
      <c r="AD55" s="26">
        <f t="shared" si="9"/>
        <v>236484</v>
      </c>
      <c r="AI55" s="41"/>
    </row>
    <row r="56" spans="1:35" s="19" customFormat="1">
      <c r="A56" s="10"/>
      <c r="B56" s="2"/>
      <c r="C56" s="27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14"/>
      <c r="AI56" s="41"/>
    </row>
    <row r="57" spans="1:35" s="19" customFormat="1" ht="14">
      <c r="A57" s="10" t="s">
        <v>181</v>
      </c>
      <c r="B57" s="2"/>
      <c r="C57" s="27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14"/>
      <c r="AI57" s="41"/>
    </row>
    <row r="58" spans="1:35" s="19" customFormat="1" ht="14">
      <c r="A58" s="20" t="s">
        <v>161</v>
      </c>
      <c r="B58" s="21" t="s">
        <v>162</v>
      </c>
      <c r="C58" s="12">
        <v>0</v>
      </c>
      <c r="D58" s="13">
        <f>'FY24 PPSEL Supp Summary'!F48+Table1[[#This Row],[FY24 Revised Budget Approved]]</f>
        <v>330250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4">
        <f t="shared" si="0"/>
        <v>330250</v>
      </c>
      <c r="AI58" s="41"/>
    </row>
    <row r="59" spans="1:35" s="19" customFormat="1" ht="14">
      <c r="A59" s="20" t="s">
        <v>163</v>
      </c>
      <c r="B59" s="21" t="s">
        <v>164</v>
      </c>
      <c r="C59" s="12">
        <v>0</v>
      </c>
      <c r="D59" s="13">
        <f>'FY24 PPSEL Supp Summary'!F65+'FY24 PPSEL Supp Summary'!F72+'FY24 PPSEL Supp Summary'!F74+'FY24 PPSEL Supp Summary'!F84+'FY24 PPSEL Supp Summary'!F86+'FY24 PPSEL Supp Summary'!F95+'FY24 PPSEL Supp Summary'!F97+'FY24 PPSEL Supp Summary'!F103+'FY24 PPSEL Supp Summary'!F106+'FY24 PPSEL Supp Summary'!F114+'FY24 PPSEL Supp Summary'!F105</f>
        <v>243416.69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4">
        <f t="shared" si="0"/>
        <v>243416.69</v>
      </c>
      <c r="AI59" s="41"/>
    </row>
    <row r="60" spans="1:35" s="19" customFormat="1" ht="14">
      <c r="A60" s="20" t="s">
        <v>165</v>
      </c>
      <c r="B60" s="21" t="s">
        <v>166</v>
      </c>
      <c r="C60" s="12">
        <v>0</v>
      </c>
      <c r="D60" s="13">
        <f>'FY24 PPSEL Supp Summary'!F157+'FY24 PPSEL Supp Summary'!F158+'FY24 PPSEL Supp Summary'!F134+'FY24 PPSEL Supp Summary'!F117</f>
        <v>27400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4">
        <f t="shared" si="0"/>
        <v>27400</v>
      </c>
      <c r="AI60" s="41"/>
    </row>
    <row r="61" spans="1:35" s="19" customFormat="1" ht="14">
      <c r="A61" s="20" t="s">
        <v>167</v>
      </c>
      <c r="B61" s="21" t="s">
        <v>168</v>
      </c>
      <c r="C61" s="12">
        <v>0</v>
      </c>
      <c r="D61" s="13">
        <f>'FY24 PPSEL Supp Summary'!F165+'FY24 PPSEL Supp Summary'!F170+'FY24 PPSEL Supp Summary'!F171+'FY24 PPSEL Supp Summary'!F175</f>
        <v>35000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  <c r="AD61" s="14">
        <f t="shared" si="0"/>
        <v>35000</v>
      </c>
      <c r="AI61" s="41"/>
    </row>
    <row r="62" spans="1:35" s="19" customFormat="1" ht="14">
      <c r="A62" s="20" t="s">
        <v>169</v>
      </c>
      <c r="B62" s="21" t="s">
        <v>170</v>
      </c>
      <c r="C62" s="12">
        <v>0</v>
      </c>
      <c r="D62" s="13">
        <f>'FY24 PPSEL Supp Summary'!F190+'FY24 PPSEL Supp Summary'!F191</f>
        <v>30000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4">
        <f t="shared" si="0"/>
        <v>30000</v>
      </c>
      <c r="AI62" s="41"/>
    </row>
    <row r="63" spans="1:35" s="19" customFormat="1" ht="14">
      <c r="A63" s="20" t="s">
        <v>171</v>
      </c>
      <c r="B63" s="21" t="s">
        <v>172</v>
      </c>
      <c r="C63" s="12">
        <v>0</v>
      </c>
      <c r="D63" s="13">
        <f>'FY24 PPSEL Supp Summary'!F194</f>
        <v>23000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4">
        <f t="shared" si="0"/>
        <v>23000</v>
      </c>
      <c r="AI63" s="41"/>
    </row>
    <row r="64" spans="1:35" s="19" customFormat="1" ht="14">
      <c r="A64" s="32" t="s">
        <v>180</v>
      </c>
      <c r="B64" s="23"/>
      <c r="C64" s="24">
        <f t="shared" ref="C64:AD64" si="11">SUM(C58:C63)</f>
        <v>0</v>
      </c>
      <c r="D64" s="25">
        <f t="shared" si="11"/>
        <v>689066.69</v>
      </c>
      <c r="E64" s="25">
        <f t="shared" si="11"/>
        <v>0</v>
      </c>
      <c r="F64" s="25">
        <f t="shared" si="11"/>
        <v>0</v>
      </c>
      <c r="G64" s="25">
        <f t="shared" si="11"/>
        <v>0</v>
      </c>
      <c r="H64" s="25">
        <f t="shared" si="11"/>
        <v>0</v>
      </c>
      <c r="I64" s="25">
        <f t="shared" si="11"/>
        <v>0</v>
      </c>
      <c r="J64" s="25">
        <f t="shared" ref="J64" si="12">SUM(J58:J63)</f>
        <v>0</v>
      </c>
      <c r="K64" s="25">
        <f t="shared" si="11"/>
        <v>0</v>
      </c>
      <c r="L64" s="25">
        <f t="shared" si="11"/>
        <v>0</v>
      </c>
      <c r="M64" s="25">
        <f t="shared" si="11"/>
        <v>0</v>
      </c>
      <c r="N64" s="25">
        <f t="shared" si="11"/>
        <v>0</v>
      </c>
      <c r="O64" s="25">
        <f t="shared" si="11"/>
        <v>0</v>
      </c>
      <c r="P64" s="25">
        <f t="shared" si="11"/>
        <v>0</v>
      </c>
      <c r="Q64" s="25">
        <f t="shared" si="11"/>
        <v>0</v>
      </c>
      <c r="R64" s="25">
        <f t="shared" si="11"/>
        <v>0</v>
      </c>
      <c r="S64" s="25">
        <f t="shared" si="11"/>
        <v>0</v>
      </c>
      <c r="T64" s="25">
        <f t="shared" si="11"/>
        <v>0</v>
      </c>
      <c r="U64" s="25">
        <f t="shared" si="11"/>
        <v>0</v>
      </c>
      <c r="V64" s="25">
        <f t="shared" si="11"/>
        <v>0</v>
      </c>
      <c r="W64" s="25">
        <f t="shared" si="11"/>
        <v>0</v>
      </c>
      <c r="X64" s="25">
        <f t="shared" si="11"/>
        <v>0</v>
      </c>
      <c r="Y64" s="25">
        <f t="shared" si="11"/>
        <v>0</v>
      </c>
      <c r="Z64" s="25">
        <f t="shared" si="11"/>
        <v>0</v>
      </c>
      <c r="AA64" s="25">
        <f t="shared" si="11"/>
        <v>0</v>
      </c>
      <c r="AB64" s="25">
        <f t="shared" si="11"/>
        <v>0</v>
      </c>
      <c r="AC64" s="25">
        <f t="shared" si="11"/>
        <v>0</v>
      </c>
      <c r="AD64" s="26">
        <f t="shared" si="11"/>
        <v>689066.69</v>
      </c>
      <c r="AI64" s="41"/>
    </row>
    <row r="65" spans="1:35" s="19" customFormat="1">
      <c r="A65" s="10"/>
      <c r="B65" s="2"/>
      <c r="C65" s="27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14"/>
      <c r="AI65" s="41"/>
    </row>
    <row r="66" spans="1:35" s="19" customFormat="1" ht="28">
      <c r="A66" s="10" t="s">
        <v>182</v>
      </c>
      <c r="B66" s="2"/>
      <c r="C66" s="27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14"/>
      <c r="AI66" s="41"/>
    </row>
    <row r="67" spans="1:35" s="19" customFormat="1" ht="14">
      <c r="A67" s="20" t="s">
        <v>161</v>
      </c>
      <c r="B67" s="21" t="s">
        <v>162</v>
      </c>
      <c r="C67" s="12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4">
        <f t="shared" si="0"/>
        <v>0</v>
      </c>
      <c r="AI67" s="41"/>
    </row>
    <row r="68" spans="1:35" s="19" customFormat="1" ht="14">
      <c r="A68" s="20" t="s">
        <v>163</v>
      </c>
      <c r="B68" s="21" t="s">
        <v>164</v>
      </c>
      <c r="C68" s="12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4">
        <f t="shared" ref="AD68:AD131" si="13">SUM(C68:AC68)</f>
        <v>0</v>
      </c>
      <c r="AI68" s="41"/>
    </row>
    <row r="69" spans="1:35" s="19" customFormat="1" ht="14">
      <c r="A69" s="20" t="s">
        <v>165</v>
      </c>
      <c r="B69" s="21" t="s">
        <v>166</v>
      </c>
      <c r="C69" s="12">
        <v>0</v>
      </c>
      <c r="D69" s="13">
        <f>'FY24 PPSEL Supp Summary'!F128+'FY24 PPSEL Supp Summary'!F118+'FY24 PPSEL Supp Summary'!F131</f>
        <v>48380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4">
        <f t="shared" si="13"/>
        <v>48380</v>
      </c>
      <c r="AI69" s="41"/>
    </row>
    <row r="70" spans="1:35" s="19" customFormat="1" ht="14">
      <c r="A70" s="20" t="s">
        <v>167</v>
      </c>
      <c r="B70" s="21" t="s">
        <v>168</v>
      </c>
      <c r="C70" s="12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4">
        <f t="shared" si="13"/>
        <v>0</v>
      </c>
      <c r="AI70" s="41"/>
    </row>
    <row r="71" spans="1:35" s="19" customFormat="1" ht="14">
      <c r="A71" s="20" t="s">
        <v>169</v>
      </c>
      <c r="B71" s="21" t="s">
        <v>170</v>
      </c>
      <c r="C71" s="12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4">
        <f t="shared" si="13"/>
        <v>0</v>
      </c>
      <c r="AI71" s="41"/>
    </row>
    <row r="72" spans="1:35" s="19" customFormat="1" ht="14">
      <c r="A72" s="20" t="s">
        <v>171</v>
      </c>
      <c r="B72" s="21" t="s">
        <v>172</v>
      </c>
      <c r="C72" s="12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4">
        <f t="shared" si="13"/>
        <v>0</v>
      </c>
      <c r="AI72" s="41"/>
    </row>
    <row r="73" spans="1:35" s="19" customFormat="1" ht="14">
      <c r="A73" s="32" t="s">
        <v>183</v>
      </c>
      <c r="B73" s="23"/>
      <c r="C73" s="24">
        <f t="shared" ref="C73:AD73" si="14">SUM(C67:C72)</f>
        <v>0</v>
      </c>
      <c r="D73" s="25">
        <f t="shared" si="14"/>
        <v>48380</v>
      </c>
      <c r="E73" s="25">
        <f t="shared" si="14"/>
        <v>0</v>
      </c>
      <c r="F73" s="25">
        <f t="shared" si="14"/>
        <v>0</v>
      </c>
      <c r="G73" s="25">
        <f t="shared" si="14"/>
        <v>0</v>
      </c>
      <c r="H73" s="25">
        <f t="shared" si="14"/>
        <v>0</v>
      </c>
      <c r="I73" s="25">
        <f t="shared" si="14"/>
        <v>0</v>
      </c>
      <c r="J73" s="25">
        <f t="shared" si="14"/>
        <v>0</v>
      </c>
      <c r="K73" s="25">
        <f t="shared" si="14"/>
        <v>0</v>
      </c>
      <c r="L73" s="25">
        <f t="shared" si="14"/>
        <v>0</v>
      </c>
      <c r="M73" s="25">
        <f t="shared" si="14"/>
        <v>0</v>
      </c>
      <c r="N73" s="25">
        <f t="shared" si="14"/>
        <v>0</v>
      </c>
      <c r="O73" s="25">
        <f t="shared" si="14"/>
        <v>0</v>
      </c>
      <c r="P73" s="25">
        <f t="shared" si="14"/>
        <v>0</v>
      </c>
      <c r="Q73" s="25">
        <f t="shared" si="14"/>
        <v>0</v>
      </c>
      <c r="R73" s="25">
        <f t="shared" si="14"/>
        <v>0</v>
      </c>
      <c r="S73" s="25">
        <f t="shared" si="14"/>
        <v>0</v>
      </c>
      <c r="T73" s="25">
        <f t="shared" si="14"/>
        <v>0</v>
      </c>
      <c r="U73" s="25">
        <f t="shared" si="14"/>
        <v>0</v>
      </c>
      <c r="V73" s="25">
        <f t="shared" si="14"/>
        <v>0</v>
      </c>
      <c r="W73" s="25">
        <f t="shared" si="14"/>
        <v>0</v>
      </c>
      <c r="X73" s="25">
        <f t="shared" si="14"/>
        <v>0</v>
      </c>
      <c r="Y73" s="25">
        <f t="shared" si="14"/>
        <v>0</v>
      </c>
      <c r="Z73" s="25">
        <f t="shared" si="14"/>
        <v>0</v>
      </c>
      <c r="AA73" s="25">
        <f t="shared" si="14"/>
        <v>0</v>
      </c>
      <c r="AB73" s="25">
        <f t="shared" si="14"/>
        <v>0</v>
      </c>
      <c r="AC73" s="25">
        <f t="shared" si="14"/>
        <v>0</v>
      </c>
      <c r="AD73" s="26">
        <f t="shared" si="14"/>
        <v>48380</v>
      </c>
      <c r="AI73" s="41"/>
    </row>
    <row r="74" spans="1:35" s="19" customFormat="1" ht="14">
      <c r="A74" s="10" t="s">
        <v>184</v>
      </c>
      <c r="B74" s="2"/>
      <c r="C74" s="27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14"/>
      <c r="AI74" s="41"/>
    </row>
    <row r="75" spans="1:35" s="19" customFormat="1" ht="14">
      <c r="A75" s="20" t="s">
        <v>161</v>
      </c>
      <c r="B75" s="21" t="s">
        <v>162</v>
      </c>
      <c r="C75" s="12">
        <v>0</v>
      </c>
      <c r="D75" s="13">
        <f>'FY24 PPSEL Supp Summary'!F62</f>
        <v>29300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4">
        <f t="shared" si="13"/>
        <v>29300</v>
      </c>
      <c r="AI75" s="41"/>
    </row>
    <row r="76" spans="1:35" s="19" customFormat="1" ht="14">
      <c r="A76" s="20" t="s">
        <v>163</v>
      </c>
      <c r="B76" s="21" t="s">
        <v>164</v>
      </c>
      <c r="C76" s="12">
        <v>0</v>
      </c>
      <c r="D76" s="13">
        <f>'FY24 PPSEL Supp Summary'!F73+'FY24 PPSEL Supp Summary'!F85+'FY24 PPSEL Supp Summary'!F96+'FY24 PPSEL Supp Summary'!F104+'FY24 PPSEL Supp Summary'!F115</f>
        <v>9980.77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4">
        <f t="shared" si="13"/>
        <v>9980.77</v>
      </c>
      <c r="AI76" s="41"/>
    </row>
    <row r="77" spans="1:35" s="19" customFormat="1" ht="14">
      <c r="A77" s="20" t="s">
        <v>165</v>
      </c>
      <c r="B77" s="21" t="s">
        <v>166</v>
      </c>
      <c r="C77" s="12">
        <v>0</v>
      </c>
      <c r="D77" s="13">
        <f>'FY24 PPSEL Supp Summary'!F145</f>
        <v>382604</v>
      </c>
      <c r="E77" s="13">
        <v>0</v>
      </c>
      <c r="F77" s="13">
        <v>0</v>
      </c>
      <c r="G77" s="13">
        <v>0</v>
      </c>
      <c r="H77" s="13">
        <f>'FY24 PPSEL Supp Summary'!F27</f>
        <v>158780.04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f>-'FY24 PPSEL Supp Summary'!F209</f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  <c r="AD77" s="14">
        <f t="shared" si="13"/>
        <v>541384.04</v>
      </c>
      <c r="AI77" s="41"/>
    </row>
    <row r="78" spans="1:35" s="19" customFormat="1" ht="14">
      <c r="A78" s="20" t="s">
        <v>167</v>
      </c>
      <c r="B78" s="21" t="s">
        <v>168</v>
      </c>
      <c r="C78" s="12">
        <v>0</v>
      </c>
      <c r="D78" s="13">
        <f>'FY24 PPSEL Supp Summary'!F176+'FY24 PPSEL Supp Summary'!F177+'FY24 PPSEL Supp Summary'!F179+'FY24 PPSEL Supp Summary'!F180</f>
        <v>52500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4">
        <f t="shared" si="13"/>
        <v>52500</v>
      </c>
      <c r="AI78" s="41"/>
    </row>
    <row r="79" spans="1:35" s="19" customFormat="1" ht="14">
      <c r="A79" s="20" t="s">
        <v>169</v>
      </c>
      <c r="B79" s="21" t="s">
        <v>170</v>
      </c>
      <c r="C79" s="12">
        <v>0</v>
      </c>
      <c r="D79" s="13">
        <f>'FY24 PPSEL Supp Summary'!F186+'FY24 PPSEL Supp Summary'!F187</f>
        <v>409196.87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4">
        <f t="shared" si="13"/>
        <v>409196.87</v>
      </c>
      <c r="AI79" s="41"/>
    </row>
    <row r="80" spans="1:35" s="19" customFormat="1" ht="14">
      <c r="A80" s="20" t="s">
        <v>171</v>
      </c>
      <c r="B80" s="21" t="s">
        <v>172</v>
      </c>
      <c r="C80" s="12">
        <v>0</v>
      </c>
      <c r="D80" s="33"/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f>-'FY24 PPSEL Supp Summary'!F210-'FY24 PPSEL Supp Summary'!F211</f>
        <v>-302595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  <c r="AD80" s="14">
        <f t="shared" si="13"/>
        <v>-302595</v>
      </c>
      <c r="AI80" s="41"/>
    </row>
    <row r="81" spans="1:35" s="19" customFormat="1" ht="14">
      <c r="A81" s="32" t="s">
        <v>185</v>
      </c>
      <c r="B81" s="23"/>
      <c r="C81" s="24">
        <f t="shared" ref="C81:AD81" si="15">SUM(C75:C80)</f>
        <v>0</v>
      </c>
      <c r="D81" s="25">
        <f t="shared" si="15"/>
        <v>883581.64</v>
      </c>
      <c r="E81" s="25">
        <f t="shared" si="15"/>
        <v>0</v>
      </c>
      <c r="F81" s="25">
        <f t="shared" si="15"/>
        <v>0</v>
      </c>
      <c r="G81" s="25">
        <f t="shared" si="15"/>
        <v>0</v>
      </c>
      <c r="H81" s="25">
        <f t="shared" si="15"/>
        <v>158780.04</v>
      </c>
      <c r="I81" s="25">
        <f t="shared" si="15"/>
        <v>0</v>
      </c>
      <c r="J81" s="25">
        <f t="shared" ref="J81" si="16">SUM(J75:J80)</f>
        <v>0</v>
      </c>
      <c r="K81" s="25">
        <f t="shared" si="15"/>
        <v>0</v>
      </c>
      <c r="L81" s="25">
        <f t="shared" si="15"/>
        <v>0</v>
      </c>
      <c r="M81" s="25">
        <f t="shared" si="15"/>
        <v>0</v>
      </c>
      <c r="N81" s="25">
        <f t="shared" si="15"/>
        <v>0</v>
      </c>
      <c r="O81" s="25">
        <f t="shared" si="15"/>
        <v>0</v>
      </c>
      <c r="P81" s="25">
        <f t="shared" si="15"/>
        <v>0</v>
      </c>
      <c r="Q81" s="25">
        <f t="shared" si="15"/>
        <v>0</v>
      </c>
      <c r="R81" s="25">
        <f t="shared" si="15"/>
        <v>0</v>
      </c>
      <c r="S81" s="25">
        <f t="shared" si="15"/>
        <v>0</v>
      </c>
      <c r="T81" s="25">
        <f t="shared" si="15"/>
        <v>0</v>
      </c>
      <c r="U81" s="25">
        <f t="shared" si="15"/>
        <v>-302595</v>
      </c>
      <c r="V81" s="25">
        <f t="shared" si="15"/>
        <v>0</v>
      </c>
      <c r="W81" s="25">
        <f t="shared" si="15"/>
        <v>0</v>
      </c>
      <c r="X81" s="25">
        <f t="shared" si="15"/>
        <v>0</v>
      </c>
      <c r="Y81" s="25">
        <f t="shared" si="15"/>
        <v>0</v>
      </c>
      <c r="Z81" s="25">
        <f t="shared" si="15"/>
        <v>0</v>
      </c>
      <c r="AA81" s="25">
        <f t="shared" si="15"/>
        <v>0</v>
      </c>
      <c r="AB81" s="25">
        <f t="shared" si="15"/>
        <v>0</v>
      </c>
      <c r="AC81" s="25">
        <f t="shared" si="15"/>
        <v>0</v>
      </c>
      <c r="AD81" s="26">
        <f t="shared" si="15"/>
        <v>739766.68</v>
      </c>
      <c r="AI81" s="41"/>
    </row>
    <row r="82" spans="1:35" s="19" customFormat="1" hidden="1">
      <c r="A82" s="10"/>
      <c r="B82" s="2"/>
      <c r="C82" s="27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14"/>
      <c r="AI82" s="41"/>
    </row>
    <row r="83" spans="1:35" s="19" customFormat="1" ht="14" hidden="1">
      <c r="A83" s="10" t="s">
        <v>186</v>
      </c>
      <c r="B83" s="2"/>
      <c r="C83" s="27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14"/>
      <c r="AI83" s="41"/>
    </row>
    <row r="84" spans="1:35" s="19" customFormat="1" ht="14" hidden="1">
      <c r="A84" s="20" t="s">
        <v>161</v>
      </c>
      <c r="B84" s="21" t="s">
        <v>162</v>
      </c>
      <c r="C84" s="12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4">
        <f t="shared" si="13"/>
        <v>0</v>
      </c>
      <c r="AI84" s="41"/>
    </row>
    <row r="85" spans="1:35" s="19" customFormat="1" ht="14" hidden="1">
      <c r="A85" s="20" t="s">
        <v>163</v>
      </c>
      <c r="B85" s="21" t="s">
        <v>164</v>
      </c>
      <c r="C85" s="12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4">
        <f t="shared" si="13"/>
        <v>0</v>
      </c>
      <c r="AI85" s="41"/>
    </row>
    <row r="86" spans="1:35" s="19" customFormat="1" ht="14" hidden="1">
      <c r="A86" s="20" t="s">
        <v>165</v>
      </c>
      <c r="B86" s="21" t="s">
        <v>166</v>
      </c>
      <c r="C86" s="12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4">
        <f t="shared" si="13"/>
        <v>0</v>
      </c>
      <c r="AI86" s="41"/>
    </row>
    <row r="87" spans="1:35" s="19" customFormat="1" ht="14" hidden="1">
      <c r="A87" s="20" t="s">
        <v>167</v>
      </c>
      <c r="B87" s="21" t="s">
        <v>168</v>
      </c>
      <c r="C87" s="12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4">
        <f t="shared" si="13"/>
        <v>0</v>
      </c>
      <c r="AI87" s="41"/>
    </row>
    <row r="88" spans="1:35" s="19" customFormat="1" ht="14" hidden="1">
      <c r="A88" s="20" t="s">
        <v>169</v>
      </c>
      <c r="B88" s="21" t="s">
        <v>170</v>
      </c>
      <c r="C88" s="12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4">
        <f t="shared" si="13"/>
        <v>0</v>
      </c>
      <c r="AI88" s="41"/>
    </row>
    <row r="89" spans="1:35" s="19" customFormat="1" ht="14" hidden="1">
      <c r="A89" s="20" t="s">
        <v>171</v>
      </c>
      <c r="B89" s="21" t="s">
        <v>172</v>
      </c>
      <c r="C89" s="12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4">
        <f t="shared" si="13"/>
        <v>0</v>
      </c>
      <c r="AI89" s="41"/>
    </row>
    <row r="90" spans="1:35" s="19" customFormat="1" ht="14" hidden="1">
      <c r="A90" s="32" t="s">
        <v>187</v>
      </c>
      <c r="B90" s="23"/>
      <c r="C90" s="24">
        <f t="shared" ref="C90:AD90" si="17">SUM(C84:C89)</f>
        <v>0</v>
      </c>
      <c r="D90" s="25">
        <f t="shared" si="17"/>
        <v>0</v>
      </c>
      <c r="E90" s="25">
        <f t="shared" si="17"/>
        <v>0</v>
      </c>
      <c r="F90" s="25">
        <f t="shared" si="17"/>
        <v>0</v>
      </c>
      <c r="G90" s="25">
        <f t="shared" si="17"/>
        <v>0</v>
      </c>
      <c r="H90" s="25">
        <f t="shared" si="17"/>
        <v>0</v>
      </c>
      <c r="I90" s="25">
        <f t="shared" si="17"/>
        <v>0</v>
      </c>
      <c r="J90" s="25">
        <f t="shared" si="17"/>
        <v>0</v>
      </c>
      <c r="K90" s="25">
        <f t="shared" si="17"/>
        <v>0</v>
      </c>
      <c r="L90" s="25">
        <f t="shared" si="17"/>
        <v>0</v>
      </c>
      <c r="M90" s="25">
        <f t="shared" si="17"/>
        <v>0</v>
      </c>
      <c r="N90" s="25">
        <f t="shared" si="17"/>
        <v>0</v>
      </c>
      <c r="O90" s="25">
        <f t="shared" si="17"/>
        <v>0</v>
      </c>
      <c r="P90" s="25">
        <f t="shared" si="17"/>
        <v>0</v>
      </c>
      <c r="Q90" s="25">
        <f t="shared" si="17"/>
        <v>0</v>
      </c>
      <c r="R90" s="25">
        <f t="shared" si="17"/>
        <v>0</v>
      </c>
      <c r="S90" s="25">
        <f t="shared" si="17"/>
        <v>0</v>
      </c>
      <c r="T90" s="25">
        <f t="shared" si="17"/>
        <v>0</v>
      </c>
      <c r="U90" s="25">
        <f t="shared" si="17"/>
        <v>0</v>
      </c>
      <c r="V90" s="25">
        <f t="shared" si="17"/>
        <v>0</v>
      </c>
      <c r="W90" s="25">
        <f t="shared" si="17"/>
        <v>0</v>
      </c>
      <c r="X90" s="25">
        <f t="shared" si="17"/>
        <v>0</v>
      </c>
      <c r="Y90" s="25">
        <f t="shared" si="17"/>
        <v>0</v>
      </c>
      <c r="Z90" s="25">
        <f t="shared" si="17"/>
        <v>0</v>
      </c>
      <c r="AA90" s="25">
        <f t="shared" si="17"/>
        <v>0</v>
      </c>
      <c r="AB90" s="25">
        <f t="shared" si="17"/>
        <v>0</v>
      </c>
      <c r="AC90" s="25">
        <f t="shared" si="17"/>
        <v>0</v>
      </c>
      <c r="AD90" s="26">
        <f t="shared" si="17"/>
        <v>0</v>
      </c>
      <c r="AI90" s="41"/>
    </row>
    <row r="91" spans="1:35" s="19" customFormat="1">
      <c r="A91" s="10"/>
      <c r="B91" s="2"/>
      <c r="C91" s="27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14"/>
      <c r="AI91" s="41"/>
    </row>
    <row r="92" spans="1:35" s="19" customFormat="1" ht="28">
      <c r="A92" s="10" t="s">
        <v>188</v>
      </c>
      <c r="B92" s="2"/>
      <c r="C92" s="27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14"/>
      <c r="AI92" s="41"/>
    </row>
    <row r="93" spans="1:35" s="19" customFormat="1" ht="14">
      <c r="A93" s="20" t="s">
        <v>161</v>
      </c>
      <c r="B93" s="21" t="s">
        <v>162</v>
      </c>
      <c r="C93" s="12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  <c r="AD93" s="14">
        <f t="shared" si="13"/>
        <v>0</v>
      </c>
      <c r="AI93" s="41"/>
    </row>
    <row r="94" spans="1:35" s="19" customFormat="1" ht="14">
      <c r="A94" s="20" t="s">
        <v>163</v>
      </c>
      <c r="B94" s="21" t="s">
        <v>164</v>
      </c>
      <c r="C94" s="12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  <c r="AD94" s="14">
        <f t="shared" si="13"/>
        <v>0</v>
      </c>
      <c r="AI94" s="41"/>
    </row>
    <row r="95" spans="1:35" s="19" customFormat="1" ht="14">
      <c r="A95" s="20" t="s">
        <v>165</v>
      </c>
      <c r="B95" s="21" t="s">
        <v>166</v>
      </c>
      <c r="C95" s="12">
        <v>0</v>
      </c>
      <c r="D95" s="13">
        <f>'FY24 PPSEL Supp Summary'!F127+'FY24 PPSEL Supp Summary'!F147+'FY24 PPSEL Supp Summary'!F148+'FY24 PPSEL Supp Summary'!F149+'FY24 PPSEL Supp Summary'!F150+'FY24 PPSEL Supp Summary'!F151+'FY24 PPSEL Supp Summary'!F153+'FY24 PPSEL Supp Summary'!F154</f>
        <v>136500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  <c r="AD95" s="14">
        <f t="shared" si="13"/>
        <v>136500</v>
      </c>
      <c r="AI95" s="41"/>
    </row>
    <row r="96" spans="1:35" s="19" customFormat="1" ht="14">
      <c r="A96" s="20" t="s">
        <v>167</v>
      </c>
      <c r="B96" s="21" t="s">
        <v>168</v>
      </c>
      <c r="C96" s="12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  <c r="AD96" s="14">
        <f t="shared" si="13"/>
        <v>0</v>
      </c>
      <c r="AI96" s="41"/>
    </row>
    <row r="97" spans="1:35" s="19" customFormat="1" ht="14">
      <c r="A97" s="20" t="s">
        <v>169</v>
      </c>
      <c r="B97" s="21" t="s">
        <v>170</v>
      </c>
      <c r="C97" s="12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4">
        <f t="shared" si="13"/>
        <v>0</v>
      </c>
      <c r="AI97" s="41"/>
    </row>
    <row r="98" spans="1:35" s="19" customFormat="1" ht="14">
      <c r="A98" s="20" t="s">
        <v>171</v>
      </c>
      <c r="B98" s="21" t="s">
        <v>172</v>
      </c>
      <c r="C98" s="12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  <c r="AD98" s="14">
        <f t="shared" si="13"/>
        <v>0</v>
      </c>
      <c r="AI98" s="41"/>
    </row>
    <row r="99" spans="1:35" s="19" customFormat="1" ht="14">
      <c r="A99" s="32" t="s">
        <v>189</v>
      </c>
      <c r="B99" s="23"/>
      <c r="C99" s="24">
        <f t="shared" ref="C99:AD99" si="18">SUM(C93:C98)</f>
        <v>0</v>
      </c>
      <c r="D99" s="25">
        <f t="shared" si="18"/>
        <v>136500</v>
      </c>
      <c r="E99" s="25">
        <f t="shared" si="18"/>
        <v>0</v>
      </c>
      <c r="F99" s="25">
        <f t="shared" si="18"/>
        <v>0</v>
      </c>
      <c r="G99" s="25">
        <f t="shared" si="18"/>
        <v>0</v>
      </c>
      <c r="H99" s="25">
        <f t="shared" si="18"/>
        <v>0</v>
      </c>
      <c r="I99" s="25">
        <f t="shared" si="18"/>
        <v>0</v>
      </c>
      <c r="J99" s="25">
        <f t="shared" si="18"/>
        <v>0</v>
      </c>
      <c r="K99" s="25">
        <f t="shared" si="18"/>
        <v>0</v>
      </c>
      <c r="L99" s="25">
        <f t="shared" si="18"/>
        <v>0</v>
      </c>
      <c r="M99" s="25">
        <f t="shared" si="18"/>
        <v>0</v>
      </c>
      <c r="N99" s="25">
        <f t="shared" si="18"/>
        <v>0</v>
      </c>
      <c r="O99" s="25">
        <f t="shared" si="18"/>
        <v>0</v>
      </c>
      <c r="P99" s="25">
        <f t="shared" si="18"/>
        <v>0</v>
      </c>
      <c r="Q99" s="25">
        <f t="shared" si="18"/>
        <v>0</v>
      </c>
      <c r="R99" s="25">
        <f t="shared" si="18"/>
        <v>0</v>
      </c>
      <c r="S99" s="25">
        <f t="shared" si="18"/>
        <v>0</v>
      </c>
      <c r="T99" s="25">
        <f t="shared" si="18"/>
        <v>0</v>
      </c>
      <c r="U99" s="25">
        <f t="shared" si="18"/>
        <v>0</v>
      </c>
      <c r="V99" s="25">
        <f t="shared" si="18"/>
        <v>0</v>
      </c>
      <c r="W99" s="25">
        <f t="shared" si="18"/>
        <v>0</v>
      </c>
      <c r="X99" s="25">
        <f t="shared" si="18"/>
        <v>0</v>
      </c>
      <c r="Y99" s="25">
        <f t="shared" si="18"/>
        <v>0</v>
      </c>
      <c r="Z99" s="25">
        <f t="shared" si="18"/>
        <v>0</v>
      </c>
      <c r="AA99" s="25">
        <f t="shared" si="18"/>
        <v>0</v>
      </c>
      <c r="AB99" s="25">
        <f t="shared" si="18"/>
        <v>0</v>
      </c>
      <c r="AC99" s="25">
        <f t="shared" si="18"/>
        <v>0</v>
      </c>
      <c r="AD99" s="26">
        <f t="shared" si="18"/>
        <v>136500</v>
      </c>
      <c r="AI99" s="41"/>
    </row>
    <row r="100" spans="1:35" s="19" customFormat="1">
      <c r="A100" s="10"/>
      <c r="B100" s="2"/>
      <c r="C100" s="27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14"/>
      <c r="AI100" s="41"/>
    </row>
    <row r="101" spans="1:35" s="19" customFormat="1" ht="14">
      <c r="A101" s="10" t="s">
        <v>190</v>
      </c>
      <c r="B101" s="2"/>
      <c r="C101" s="27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14"/>
      <c r="AI101" s="41"/>
    </row>
    <row r="102" spans="1:35" s="19" customFormat="1" ht="14">
      <c r="A102" s="20" t="s">
        <v>161</v>
      </c>
      <c r="B102" s="21" t="s">
        <v>162</v>
      </c>
      <c r="C102" s="12">
        <v>0</v>
      </c>
      <c r="D102" s="13">
        <f>'FY24 PPSEL Supp Summary'!F57</f>
        <v>9000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4">
        <f t="shared" si="13"/>
        <v>9000</v>
      </c>
      <c r="AI102" s="41"/>
    </row>
    <row r="103" spans="1:35" s="19" customFormat="1" ht="14">
      <c r="A103" s="20" t="s">
        <v>163</v>
      </c>
      <c r="B103" s="21" t="s">
        <v>164</v>
      </c>
      <c r="C103" s="12">
        <v>0</v>
      </c>
      <c r="D103" s="13">
        <f>'FY24 PPSEL Supp Summary'!F80+'FY24 PPSEL Supp Summary'!F91+Table1[[#This Row],[FY24 Revised Budget Approved]]</f>
        <v>10197.06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4">
        <f t="shared" si="13"/>
        <v>10197.06</v>
      </c>
      <c r="AI103" s="41"/>
    </row>
    <row r="104" spans="1:35" s="19" customFormat="1" ht="14">
      <c r="A104" s="20" t="s">
        <v>165</v>
      </c>
      <c r="B104" s="21" t="s">
        <v>166</v>
      </c>
      <c r="C104" s="12"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4">
        <f t="shared" si="13"/>
        <v>0</v>
      </c>
      <c r="AI104" s="41"/>
    </row>
    <row r="105" spans="1:35" s="19" customFormat="1" ht="14">
      <c r="A105" s="20" t="s">
        <v>167</v>
      </c>
      <c r="B105" s="21" t="s">
        <v>168</v>
      </c>
      <c r="C105" s="12">
        <v>0</v>
      </c>
      <c r="D105" s="13">
        <f>'FY24 PPSEL Supp Summary'!F166</f>
        <v>500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  <c r="AD105" s="14">
        <f t="shared" si="13"/>
        <v>500</v>
      </c>
      <c r="AI105" s="41"/>
    </row>
    <row r="106" spans="1:35" s="19" customFormat="1" ht="14">
      <c r="A106" s="20" t="s">
        <v>169</v>
      </c>
      <c r="B106" s="21" t="s">
        <v>170</v>
      </c>
      <c r="C106" s="12">
        <v>0</v>
      </c>
      <c r="D106" s="13">
        <f>'FY24 PPSEL Supp Summary'!F188</f>
        <v>2100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  <c r="AD106" s="14">
        <f t="shared" si="13"/>
        <v>2100</v>
      </c>
      <c r="AI106" s="41"/>
    </row>
    <row r="107" spans="1:35" s="19" customFormat="1" ht="14">
      <c r="A107" s="20" t="s">
        <v>171</v>
      </c>
      <c r="B107" s="21" t="s">
        <v>172</v>
      </c>
      <c r="C107" s="12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  <c r="AD107" s="14">
        <f t="shared" si="13"/>
        <v>0</v>
      </c>
      <c r="AI107" s="41"/>
    </row>
    <row r="108" spans="1:35" s="19" customFormat="1" ht="14">
      <c r="A108" s="32" t="s">
        <v>191</v>
      </c>
      <c r="B108" s="23"/>
      <c r="C108" s="24">
        <f t="shared" ref="C108:AD108" si="19">SUM(C102:C107)</f>
        <v>0</v>
      </c>
      <c r="D108" s="25">
        <f t="shared" si="19"/>
        <v>21797.059999999998</v>
      </c>
      <c r="E108" s="25">
        <f t="shared" si="19"/>
        <v>0</v>
      </c>
      <c r="F108" s="25">
        <f t="shared" si="19"/>
        <v>0</v>
      </c>
      <c r="G108" s="25">
        <f t="shared" si="19"/>
        <v>0</v>
      </c>
      <c r="H108" s="25">
        <f t="shared" si="19"/>
        <v>0</v>
      </c>
      <c r="I108" s="25">
        <f t="shared" si="19"/>
        <v>0</v>
      </c>
      <c r="J108" s="25">
        <f t="shared" si="19"/>
        <v>0</v>
      </c>
      <c r="K108" s="25">
        <f t="shared" si="19"/>
        <v>0</v>
      </c>
      <c r="L108" s="25">
        <f t="shared" si="19"/>
        <v>0</v>
      </c>
      <c r="M108" s="25">
        <f t="shared" si="19"/>
        <v>0</v>
      </c>
      <c r="N108" s="25">
        <f t="shared" si="19"/>
        <v>0</v>
      </c>
      <c r="O108" s="25">
        <f t="shared" si="19"/>
        <v>0</v>
      </c>
      <c r="P108" s="25">
        <f t="shared" si="19"/>
        <v>0</v>
      </c>
      <c r="Q108" s="25">
        <f t="shared" si="19"/>
        <v>0</v>
      </c>
      <c r="R108" s="25">
        <f t="shared" si="19"/>
        <v>0</v>
      </c>
      <c r="S108" s="25">
        <f t="shared" si="19"/>
        <v>0</v>
      </c>
      <c r="T108" s="25">
        <f t="shared" si="19"/>
        <v>0</v>
      </c>
      <c r="U108" s="25">
        <f t="shared" si="19"/>
        <v>0</v>
      </c>
      <c r="V108" s="25">
        <f t="shared" si="19"/>
        <v>0</v>
      </c>
      <c r="W108" s="25">
        <f t="shared" si="19"/>
        <v>0</v>
      </c>
      <c r="X108" s="25">
        <f t="shared" si="19"/>
        <v>0</v>
      </c>
      <c r="Y108" s="25">
        <f t="shared" si="19"/>
        <v>0</v>
      </c>
      <c r="Z108" s="25">
        <f t="shared" si="19"/>
        <v>0</v>
      </c>
      <c r="AA108" s="25">
        <f t="shared" si="19"/>
        <v>0</v>
      </c>
      <c r="AB108" s="25">
        <f t="shared" si="19"/>
        <v>0</v>
      </c>
      <c r="AC108" s="25">
        <f t="shared" si="19"/>
        <v>0</v>
      </c>
      <c r="AD108" s="26">
        <f t="shared" si="19"/>
        <v>21797.059999999998</v>
      </c>
      <c r="AI108" s="41"/>
    </row>
    <row r="109" spans="1:35" s="19" customFormat="1">
      <c r="A109" s="10"/>
      <c r="B109" s="2"/>
      <c r="C109" s="27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14"/>
      <c r="AI109" s="41"/>
    </row>
    <row r="110" spans="1:35" s="19" customFormat="1" ht="14">
      <c r="A110" s="10" t="s">
        <v>192</v>
      </c>
      <c r="B110" s="2"/>
      <c r="C110" s="27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14"/>
      <c r="AI110" s="41"/>
    </row>
    <row r="111" spans="1:35" s="19" customFormat="1" ht="14">
      <c r="A111" s="20" t="s">
        <v>161</v>
      </c>
      <c r="B111" s="21" t="s">
        <v>162</v>
      </c>
      <c r="C111" s="12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  <c r="AD111" s="14">
        <f t="shared" si="13"/>
        <v>0</v>
      </c>
      <c r="AI111" s="41"/>
    </row>
    <row r="112" spans="1:35" s="19" customFormat="1" ht="14">
      <c r="A112" s="20" t="s">
        <v>163</v>
      </c>
      <c r="B112" s="21" t="s">
        <v>164</v>
      </c>
      <c r="C112" s="12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  <c r="AD112" s="14">
        <f t="shared" si="13"/>
        <v>0</v>
      </c>
      <c r="AI112" s="41"/>
    </row>
    <row r="113" spans="1:35" s="19" customFormat="1" ht="14">
      <c r="A113" s="20" t="s">
        <v>165</v>
      </c>
      <c r="B113" s="21" t="s">
        <v>166</v>
      </c>
      <c r="C113" s="12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  <c r="AD113" s="14">
        <f t="shared" si="13"/>
        <v>0</v>
      </c>
      <c r="AI113" s="41"/>
    </row>
    <row r="114" spans="1:35" s="19" customFormat="1" ht="14">
      <c r="A114" s="20" t="s">
        <v>167</v>
      </c>
      <c r="B114" s="21" t="s">
        <v>168</v>
      </c>
      <c r="C114" s="12">
        <v>0</v>
      </c>
      <c r="D114" s="13">
        <f>'FY24 PPSEL Supp Summary'!F181</f>
        <v>2800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  <c r="AD114" s="14">
        <f t="shared" si="13"/>
        <v>2800</v>
      </c>
      <c r="AI114" s="41"/>
    </row>
    <row r="115" spans="1:35" s="19" customFormat="1" ht="14">
      <c r="A115" s="20" t="s">
        <v>169</v>
      </c>
      <c r="B115" s="21" t="s">
        <v>170</v>
      </c>
      <c r="C115" s="12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  <c r="AD115" s="14">
        <f t="shared" si="13"/>
        <v>0</v>
      </c>
      <c r="AI115" s="41"/>
    </row>
    <row r="116" spans="1:35" s="19" customFormat="1" ht="14">
      <c r="A116" s="20" t="s">
        <v>171</v>
      </c>
      <c r="B116" s="21" t="s">
        <v>172</v>
      </c>
      <c r="C116" s="12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4">
        <f t="shared" si="13"/>
        <v>0</v>
      </c>
      <c r="AI116" s="41"/>
    </row>
    <row r="117" spans="1:35" s="19" customFormat="1" ht="14">
      <c r="A117" s="32" t="s">
        <v>191</v>
      </c>
      <c r="B117" s="23"/>
      <c r="C117" s="24">
        <f t="shared" ref="C117:AD117" si="20">SUM(C111:C116)</f>
        <v>0</v>
      </c>
      <c r="D117" s="25">
        <f t="shared" si="20"/>
        <v>2800</v>
      </c>
      <c r="E117" s="25">
        <f t="shared" si="20"/>
        <v>0</v>
      </c>
      <c r="F117" s="25">
        <f t="shared" si="20"/>
        <v>0</v>
      </c>
      <c r="G117" s="25">
        <f t="shared" si="20"/>
        <v>0</v>
      </c>
      <c r="H117" s="25">
        <f t="shared" si="20"/>
        <v>0</v>
      </c>
      <c r="I117" s="25">
        <f t="shared" si="20"/>
        <v>0</v>
      </c>
      <c r="J117" s="25">
        <f t="shared" si="20"/>
        <v>0</v>
      </c>
      <c r="K117" s="25">
        <f t="shared" si="20"/>
        <v>0</v>
      </c>
      <c r="L117" s="25">
        <f t="shared" si="20"/>
        <v>0</v>
      </c>
      <c r="M117" s="25">
        <f t="shared" si="20"/>
        <v>0</v>
      </c>
      <c r="N117" s="25">
        <f t="shared" si="20"/>
        <v>0</v>
      </c>
      <c r="O117" s="25">
        <f t="shared" si="20"/>
        <v>0</v>
      </c>
      <c r="P117" s="25">
        <f t="shared" si="20"/>
        <v>0</v>
      </c>
      <c r="Q117" s="25">
        <f t="shared" si="20"/>
        <v>0</v>
      </c>
      <c r="R117" s="25">
        <f t="shared" si="20"/>
        <v>0</v>
      </c>
      <c r="S117" s="25">
        <f t="shared" si="20"/>
        <v>0</v>
      </c>
      <c r="T117" s="25">
        <f t="shared" si="20"/>
        <v>0</v>
      </c>
      <c r="U117" s="25">
        <f t="shared" si="20"/>
        <v>0</v>
      </c>
      <c r="V117" s="25">
        <f t="shared" si="20"/>
        <v>0</v>
      </c>
      <c r="W117" s="25">
        <f t="shared" si="20"/>
        <v>0</v>
      </c>
      <c r="X117" s="25">
        <f t="shared" si="20"/>
        <v>0</v>
      </c>
      <c r="Y117" s="25">
        <f t="shared" si="20"/>
        <v>0</v>
      </c>
      <c r="Z117" s="25">
        <f t="shared" si="20"/>
        <v>0</v>
      </c>
      <c r="AA117" s="25">
        <f t="shared" si="20"/>
        <v>0</v>
      </c>
      <c r="AB117" s="25">
        <f t="shared" si="20"/>
        <v>0</v>
      </c>
      <c r="AC117" s="25">
        <f t="shared" si="20"/>
        <v>0</v>
      </c>
      <c r="AD117" s="26">
        <f t="shared" si="20"/>
        <v>2800</v>
      </c>
      <c r="AI117" s="41"/>
    </row>
    <row r="118" spans="1:35" s="19" customFormat="1" ht="14" hidden="1">
      <c r="A118" s="10" t="s">
        <v>193</v>
      </c>
      <c r="B118" s="2"/>
      <c r="C118" s="27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14"/>
      <c r="AI118" s="41"/>
    </row>
    <row r="119" spans="1:35" s="19" customFormat="1" ht="14" hidden="1">
      <c r="A119" s="20" t="s">
        <v>161</v>
      </c>
      <c r="B119" s="21" t="s">
        <v>162</v>
      </c>
      <c r="C119" s="12"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  <c r="AD119" s="14">
        <f t="shared" si="13"/>
        <v>0</v>
      </c>
      <c r="AI119" s="41"/>
    </row>
    <row r="120" spans="1:35" s="19" customFormat="1" ht="14" hidden="1">
      <c r="A120" s="20" t="s">
        <v>163</v>
      </c>
      <c r="B120" s="21" t="s">
        <v>164</v>
      </c>
      <c r="C120" s="12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  <c r="AD120" s="14">
        <f t="shared" si="13"/>
        <v>0</v>
      </c>
      <c r="AI120" s="41"/>
    </row>
    <row r="121" spans="1:35" s="19" customFormat="1" ht="14" hidden="1">
      <c r="A121" s="20" t="s">
        <v>165</v>
      </c>
      <c r="B121" s="21" t="s">
        <v>166</v>
      </c>
      <c r="C121" s="12"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13">
        <v>0</v>
      </c>
      <c r="AD121" s="14">
        <f t="shared" si="13"/>
        <v>0</v>
      </c>
      <c r="AI121" s="41"/>
    </row>
    <row r="122" spans="1:35" s="19" customFormat="1" ht="14" hidden="1">
      <c r="A122" s="20" t="s">
        <v>167</v>
      </c>
      <c r="B122" s="21" t="s">
        <v>168</v>
      </c>
      <c r="C122" s="12"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  <c r="AD122" s="14">
        <f t="shared" si="13"/>
        <v>0</v>
      </c>
      <c r="AI122" s="41"/>
    </row>
    <row r="123" spans="1:35" s="19" customFormat="1" ht="14" hidden="1">
      <c r="A123" s="20" t="s">
        <v>169</v>
      </c>
      <c r="B123" s="21" t="s">
        <v>170</v>
      </c>
      <c r="C123" s="12"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  <c r="AD123" s="14">
        <f t="shared" si="13"/>
        <v>0</v>
      </c>
      <c r="AI123" s="41"/>
    </row>
    <row r="124" spans="1:35" s="19" customFormat="1" ht="14" hidden="1">
      <c r="A124" s="20" t="s">
        <v>171</v>
      </c>
      <c r="B124" s="21" t="s">
        <v>172</v>
      </c>
      <c r="C124" s="12">
        <v>0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  <c r="AD124" s="14">
        <f t="shared" si="13"/>
        <v>0</v>
      </c>
      <c r="AI124" s="41"/>
    </row>
    <row r="125" spans="1:35" s="19" customFormat="1" ht="14" hidden="1">
      <c r="A125" s="32" t="s">
        <v>194</v>
      </c>
      <c r="B125" s="23"/>
      <c r="C125" s="24">
        <f t="shared" ref="C125:AD125" si="21">SUM(C119:C124)</f>
        <v>0</v>
      </c>
      <c r="D125" s="25">
        <f t="shared" si="21"/>
        <v>0</v>
      </c>
      <c r="E125" s="25">
        <f t="shared" si="21"/>
        <v>0</v>
      </c>
      <c r="F125" s="25">
        <f t="shared" si="21"/>
        <v>0</v>
      </c>
      <c r="G125" s="25">
        <f t="shared" si="21"/>
        <v>0</v>
      </c>
      <c r="H125" s="25">
        <f t="shared" si="21"/>
        <v>0</v>
      </c>
      <c r="I125" s="25">
        <f t="shared" si="21"/>
        <v>0</v>
      </c>
      <c r="J125" s="25">
        <f t="shared" si="21"/>
        <v>0</v>
      </c>
      <c r="K125" s="25">
        <f t="shared" si="21"/>
        <v>0</v>
      </c>
      <c r="L125" s="25">
        <f t="shared" si="21"/>
        <v>0</v>
      </c>
      <c r="M125" s="25">
        <f t="shared" si="21"/>
        <v>0</v>
      </c>
      <c r="N125" s="25">
        <f t="shared" si="21"/>
        <v>0</v>
      </c>
      <c r="O125" s="25">
        <f t="shared" si="21"/>
        <v>0</v>
      </c>
      <c r="P125" s="25">
        <f t="shared" si="21"/>
        <v>0</v>
      </c>
      <c r="Q125" s="25">
        <f t="shared" si="21"/>
        <v>0</v>
      </c>
      <c r="R125" s="25">
        <f t="shared" si="21"/>
        <v>0</v>
      </c>
      <c r="S125" s="25">
        <f t="shared" si="21"/>
        <v>0</v>
      </c>
      <c r="T125" s="25">
        <f t="shared" si="21"/>
        <v>0</v>
      </c>
      <c r="U125" s="25">
        <f t="shared" si="21"/>
        <v>0</v>
      </c>
      <c r="V125" s="25">
        <f t="shared" si="21"/>
        <v>0</v>
      </c>
      <c r="W125" s="25">
        <f t="shared" si="21"/>
        <v>0</v>
      </c>
      <c r="X125" s="25">
        <f t="shared" si="21"/>
        <v>0</v>
      </c>
      <c r="Y125" s="25">
        <f t="shared" si="21"/>
        <v>0</v>
      </c>
      <c r="Z125" s="25">
        <f t="shared" si="21"/>
        <v>0</v>
      </c>
      <c r="AA125" s="25">
        <f t="shared" si="21"/>
        <v>0</v>
      </c>
      <c r="AB125" s="25">
        <f t="shared" si="21"/>
        <v>0</v>
      </c>
      <c r="AC125" s="25">
        <f t="shared" si="21"/>
        <v>0</v>
      </c>
      <c r="AD125" s="26">
        <f t="shared" si="21"/>
        <v>0</v>
      </c>
      <c r="AI125" s="41"/>
    </row>
    <row r="126" spans="1:35" s="19" customFormat="1" hidden="1">
      <c r="A126" s="10"/>
      <c r="B126" s="2"/>
      <c r="C126" s="27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14"/>
      <c r="AI126" s="41"/>
    </row>
    <row r="127" spans="1:35" s="19" customFormat="1" ht="14" hidden="1">
      <c r="A127" s="10" t="s">
        <v>195</v>
      </c>
      <c r="B127" s="2"/>
      <c r="C127" s="27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14"/>
      <c r="AI127" s="41"/>
    </row>
    <row r="128" spans="1:35" s="19" customFormat="1" ht="14" hidden="1">
      <c r="A128" s="20" t="s">
        <v>161</v>
      </c>
      <c r="B128" s="21" t="s">
        <v>162</v>
      </c>
      <c r="C128" s="12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  <c r="AD128" s="14">
        <f t="shared" si="13"/>
        <v>0</v>
      </c>
      <c r="AI128" s="41"/>
    </row>
    <row r="129" spans="1:35" s="19" customFormat="1" ht="14" hidden="1">
      <c r="A129" s="20" t="s">
        <v>163</v>
      </c>
      <c r="B129" s="21" t="s">
        <v>164</v>
      </c>
      <c r="C129" s="12"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  <c r="AD129" s="14">
        <f t="shared" si="13"/>
        <v>0</v>
      </c>
      <c r="AI129" s="41"/>
    </row>
    <row r="130" spans="1:35" s="19" customFormat="1" ht="14" hidden="1">
      <c r="A130" s="20" t="s">
        <v>165</v>
      </c>
      <c r="B130" s="21" t="s">
        <v>166</v>
      </c>
      <c r="C130" s="12"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  <c r="AD130" s="14">
        <f t="shared" si="13"/>
        <v>0</v>
      </c>
      <c r="AI130" s="41"/>
    </row>
    <row r="131" spans="1:35" s="19" customFormat="1" ht="14" hidden="1">
      <c r="A131" s="20" t="s">
        <v>167</v>
      </c>
      <c r="B131" s="21" t="s">
        <v>168</v>
      </c>
      <c r="C131" s="12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  <c r="AD131" s="14">
        <f t="shared" si="13"/>
        <v>0</v>
      </c>
      <c r="AI131" s="41"/>
    </row>
    <row r="132" spans="1:35" s="19" customFormat="1" ht="14" hidden="1">
      <c r="A132" s="20" t="s">
        <v>169</v>
      </c>
      <c r="B132" s="21" t="s">
        <v>170</v>
      </c>
      <c r="C132" s="12">
        <v>0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13">
        <v>0</v>
      </c>
      <c r="AD132" s="14">
        <f t="shared" ref="AD132:AD194" si="22">SUM(C132:AC132)</f>
        <v>0</v>
      </c>
      <c r="AI132" s="41"/>
    </row>
    <row r="133" spans="1:35" s="19" customFormat="1" ht="14" hidden="1">
      <c r="A133" s="20" t="s">
        <v>171</v>
      </c>
      <c r="B133" s="21" t="s">
        <v>172</v>
      </c>
      <c r="C133" s="12"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  <c r="AD133" s="14">
        <f t="shared" si="22"/>
        <v>0</v>
      </c>
      <c r="AI133" s="41"/>
    </row>
    <row r="134" spans="1:35" s="19" customFormat="1" ht="14" hidden="1">
      <c r="A134" s="32" t="s">
        <v>196</v>
      </c>
      <c r="B134" s="23"/>
      <c r="C134" s="24">
        <f t="shared" ref="C134:AD134" si="23">SUM(C128:C133)</f>
        <v>0</v>
      </c>
      <c r="D134" s="25">
        <f t="shared" si="23"/>
        <v>0</v>
      </c>
      <c r="E134" s="25">
        <f t="shared" si="23"/>
        <v>0</v>
      </c>
      <c r="F134" s="25">
        <f t="shared" si="23"/>
        <v>0</v>
      </c>
      <c r="G134" s="25">
        <f t="shared" si="23"/>
        <v>0</v>
      </c>
      <c r="H134" s="25">
        <f t="shared" si="23"/>
        <v>0</v>
      </c>
      <c r="I134" s="25">
        <f t="shared" si="23"/>
        <v>0</v>
      </c>
      <c r="J134" s="25">
        <f t="shared" si="23"/>
        <v>0</v>
      </c>
      <c r="K134" s="25">
        <f t="shared" si="23"/>
        <v>0</v>
      </c>
      <c r="L134" s="25">
        <f t="shared" si="23"/>
        <v>0</v>
      </c>
      <c r="M134" s="25">
        <f t="shared" si="23"/>
        <v>0</v>
      </c>
      <c r="N134" s="25">
        <f t="shared" si="23"/>
        <v>0</v>
      </c>
      <c r="O134" s="25">
        <f t="shared" si="23"/>
        <v>0</v>
      </c>
      <c r="P134" s="25">
        <f t="shared" si="23"/>
        <v>0</v>
      </c>
      <c r="Q134" s="25">
        <f t="shared" si="23"/>
        <v>0</v>
      </c>
      <c r="R134" s="25">
        <f t="shared" si="23"/>
        <v>0</v>
      </c>
      <c r="S134" s="25">
        <f t="shared" si="23"/>
        <v>0</v>
      </c>
      <c r="T134" s="25">
        <f t="shared" si="23"/>
        <v>0</v>
      </c>
      <c r="U134" s="25">
        <f t="shared" si="23"/>
        <v>0</v>
      </c>
      <c r="V134" s="25">
        <f t="shared" si="23"/>
        <v>0</v>
      </c>
      <c r="W134" s="25">
        <f t="shared" si="23"/>
        <v>0</v>
      </c>
      <c r="X134" s="25">
        <f t="shared" si="23"/>
        <v>0</v>
      </c>
      <c r="Y134" s="25">
        <f t="shared" si="23"/>
        <v>0</v>
      </c>
      <c r="Z134" s="25">
        <f t="shared" si="23"/>
        <v>0</v>
      </c>
      <c r="AA134" s="25">
        <f t="shared" si="23"/>
        <v>0</v>
      </c>
      <c r="AB134" s="25">
        <f t="shared" si="23"/>
        <v>0</v>
      </c>
      <c r="AC134" s="25">
        <f t="shared" si="23"/>
        <v>0</v>
      </c>
      <c r="AD134" s="26">
        <f t="shared" si="23"/>
        <v>0</v>
      </c>
      <c r="AI134" s="41"/>
    </row>
    <row r="135" spans="1:35" s="19" customFormat="1" hidden="1">
      <c r="A135" s="10"/>
      <c r="B135" s="2"/>
      <c r="C135" s="27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14"/>
      <c r="AI135" s="41"/>
    </row>
    <row r="136" spans="1:35" s="19" customFormat="1" ht="14" hidden="1">
      <c r="A136" s="10" t="s">
        <v>197</v>
      </c>
      <c r="B136" s="2"/>
      <c r="C136" s="27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14"/>
      <c r="AI136" s="41"/>
    </row>
    <row r="137" spans="1:35" s="19" customFormat="1" ht="14" hidden="1">
      <c r="A137" s="20" t="s">
        <v>161</v>
      </c>
      <c r="B137" s="21" t="s">
        <v>162</v>
      </c>
      <c r="C137" s="12"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  <c r="AD137" s="14">
        <f t="shared" si="22"/>
        <v>0</v>
      </c>
      <c r="AI137" s="41"/>
    </row>
    <row r="138" spans="1:35" s="19" customFormat="1" ht="14" hidden="1">
      <c r="A138" s="20" t="s">
        <v>163</v>
      </c>
      <c r="B138" s="21" t="s">
        <v>164</v>
      </c>
      <c r="C138" s="12">
        <v>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  <c r="AD138" s="14">
        <f t="shared" si="22"/>
        <v>0</v>
      </c>
      <c r="AI138" s="41"/>
    </row>
    <row r="139" spans="1:35" s="19" customFormat="1" ht="14" hidden="1">
      <c r="A139" s="20" t="s">
        <v>165</v>
      </c>
      <c r="B139" s="21" t="s">
        <v>166</v>
      </c>
      <c r="C139" s="12">
        <v>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  <c r="AD139" s="14">
        <f t="shared" si="22"/>
        <v>0</v>
      </c>
      <c r="AI139" s="41"/>
    </row>
    <row r="140" spans="1:35" s="19" customFormat="1" ht="14" hidden="1">
      <c r="A140" s="20" t="s">
        <v>167</v>
      </c>
      <c r="B140" s="21" t="s">
        <v>168</v>
      </c>
      <c r="C140" s="12">
        <v>0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  <c r="AD140" s="14">
        <f t="shared" si="22"/>
        <v>0</v>
      </c>
      <c r="AI140" s="41"/>
    </row>
    <row r="141" spans="1:35" s="19" customFormat="1" ht="14" hidden="1">
      <c r="A141" s="20" t="s">
        <v>169</v>
      </c>
      <c r="B141" s="21" t="s">
        <v>170</v>
      </c>
      <c r="C141" s="12"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13">
        <v>0</v>
      </c>
      <c r="AD141" s="14">
        <f t="shared" si="22"/>
        <v>0</v>
      </c>
      <c r="AI141" s="41"/>
    </row>
    <row r="142" spans="1:35" s="19" customFormat="1" ht="14" hidden="1">
      <c r="A142" s="20" t="s">
        <v>171</v>
      </c>
      <c r="B142" s="21" t="s">
        <v>172</v>
      </c>
      <c r="C142" s="12">
        <v>0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  <c r="AD142" s="14">
        <f t="shared" si="22"/>
        <v>0</v>
      </c>
      <c r="AI142" s="41"/>
    </row>
    <row r="143" spans="1:35" s="19" customFormat="1" ht="14" hidden="1">
      <c r="A143" s="32" t="s">
        <v>198</v>
      </c>
      <c r="B143" s="23"/>
      <c r="C143" s="24">
        <f t="shared" ref="C143:AD143" si="24">SUM(C137:C142)</f>
        <v>0</v>
      </c>
      <c r="D143" s="25">
        <f t="shared" si="24"/>
        <v>0</v>
      </c>
      <c r="E143" s="25">
        <f t="shared" si="24"/>
        <v>0</v>
      </c>
      <c r="F143" s="25">
        <f t="shared" si="24"/>
        <v>0</v>
      </c>
      <c r="G143" s="25">
        <f t="shared" si="24"/>
        <v>0</v>
      </c>
      <c r="H143" s="25">
        <f t="shared" si="24"/>
        <v>0</v>
      </c>
      <c r="I143" s="25">
        <f t="shared" si="24"/>
        <v>0</v>
      </c>
      <c r="J143" s="25">
        <f t="shared" si="24"/>
        <v>0</v>
      </c>
      <c r="K143" s="25">
        <f t="shared" si="24"/>
        <v>0</v>
      </c>
      <c r="L143" s="25">
        <f t="shared" si="24"/>
        <v>0</v>
      </c>
      <c r="M143" s="25">
        <f t="shared" si="24"/>
        <v>0</v>
      </c>
      <c r="N143" s="25">
        <f t="shared" si="24"/>
        <v>0</v>
      </c>
      <c r="O143" s="25">
        <f t="shared" si="24"/>
        <v>0</v>
      </c>
      <c r="P143" s="25">
        <f t="shared" si="24"/>
        <v>0</v>
      </c>
      <c r="Q143" s="25">
        <f t="shared" si="24"/>
        <v>0</v>
      </c>
      <c r="R143" s="25">
        <f t="shared" si="24"/>
        <v>0</v>
      </c>
      <c r="S143" s="25">
        <f t="shared" si="24"/>
        <v>0</v>
      </c>
      <c r="T143" s="25">
        <f t="shared" si="24"/>
        <v>0</v>
      </c>
      <c r="U143" s="25">
        <f t="shared" si="24"/>
        <v>0</v>
      </c>
      <c r="V143" s="25">
        <f t="shared" si="24"/>
        <v>0</v>
      </c>
      <c r="W143" s="25">
        <f t="shared" si="24"/>
        <v>0</v>
      </c>
      <c r="X143" s="25">
        <f t="shared" si="24"/>
        <v>0</v>
      </c>
      <c r="Y143" s="25">
        <f t="shared" si="24"/>
        <v>0</v>
      </c>
      <c r="Z143" s="25">
        <f t="shared" si="24"/>
        <v>0</v>
      </c>
      <c r="AA143" s="25">
        <f t="shared" si="24"/>
        <v>0</v>
      </c>
      <c r="AB143" s="25">
        <f t="shared" si="24"/>
        <v>0</v>
      </c>
      <c r="AC143" s="25">
        <f t="shared" si="24"/>
        <v>0</v>
      </c>
      <c r="AD143" s="26">
        <f t="shared" si="24"/>
        <v>0</v>
      </c>
      <c r="AI143" s="41"/>
    </row>
    <row r="144" spans="1:35" s="19" customFormat="1">
      <c r="A144" s="10"/>
      <c r="B144" s="2"/>
      <c r="C144" s="27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14"/>
      <c r="AI144" s="41"/>
    </row>
    <row r="145" spans="1:35" s="19" customFormat="1" ht="14">
      <c r="A145" s="32" t="s">
        <v>199</v>
      </c>
      <c r="B145" s="23"/>
      <c r="C145" s="24">
        <f t="shared" ref="C145:AD145" si="25">SUM(C134+C125+C117+C108+C99+C90+C81+C73+C64+C55+C46+C37+C143)</f>
        <v>0</v>
      </c>
      <c r="D145" s="25">
        <f t="shared" si="25"/>
        <v>2310141.4299999997</v>
      </c>
      <c r="E145" s="25">
        <f t="shared" si="25"/>
        <v>0</v>
      </c>
      <c r="F145" s="25">
        <f t="shared" si="25"/>
        <v>0</v>
      </c>
      <c r="G145" s="25">
        <f t="shared" si="25"/>
        <v>0</v>
      </c>
      <c r="H145" s="25">
        <f t="shared" si="25"/>
        <v>158780.04</v>
      </c>
      <c r="I145" s="25">
        <f t="shared" si="25"/>
        <v>0</v>
      </c>
      <c r="J145" s="25">
        <f t="shared" si="25"/>
        <v>0</v>
      </c>
      <c r="K145" s="25">
        <f t="shared" si="25"/>
        <v>0</v>
      </c>
      <c r="L145" s="25">
        <f t="shared" si="25"/>
        <v>0</v>
      </c>
      <c r="M145" s="25">
        <f t="shared" si="25"/>
        <v>0</v>
      </c>
      <c r="N145" s="25">
        <f t="shared" si="25"/>
        <v>0</v>
      </c>
      <c r="O145" s="25">
        <f t="shared" si="25"/>
        <v>0</v>
      </c>
      <c r="P145" s="25">
        <f t="shared" si="25"/>
        <v>0</v>
      </c>
      <c r="Q145" s="25">
        <f t="shared" si="25"/>
        <v>0</v>
      </c>
      <c r="R145" s="25">
        <f t="shared" si="25"/>
        <v>0</v>
      </c>
      <c r="S145" s="25">
        <f t="shared" si="25"/>
        <v>0</v>
      </c>
      <c r="T145" s="25">
        <f t="shared" si="25"/>
        <v>0</v>
      </c>
      <c r="U145" s="25">
        <f t="shared" si="25"/>
        <v>-302595</v>
      </c>
      <c r="V145" s="25">
        <f t="shared" si="25"/>
        <v>0</v>
      </c>
      <c r="W145" s="25">
        <f t="shared" si="25"/>
        <v>0</v>
      </c>
      <c r="X145" s="25">
        <f t="shared" si="25"/>
        <v>0</v>
      </c>
      <c r="Y145" s="25">
        <f t="shared" si="25"/>
        <v>0</v>
      </c>
      <c r="Z145" s="25">
        <f t="shared" si="25"/>
        <v>0</v>
      </c>
      <c r="AA145" s="25">
        <f t="shared" si="25"/>
        <v>0</v>
      </c>
      <c r="AB145" s="25">
        <f t="shared" si="25"/>
        <v>0</v>
      </c>
      <c r="AC145" s="25">
        <f t="shared" si="25"/>
        <v>0</v>
      </c>
      <c r="AD145" s="26">
        <f t="shared" si="25"/>
        <v>2166326.4699999997</v>
      </c>
      <c r="AI145" s="41"/>
    </row>
    <row r="146" spans="1:35" s="19" customFormat="1" hidden="1">
      <c r="A146" s="10"/>
      <c r="B146" s="2"/>
      <c r="C146" s="27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14"/>
      <c r="AI146" s="41"/>
    </row>
    <row r="147" spans="1:35" s="19" customFormat="1" ht="14" hidden="1">
      <c r="A147" s="10" t="s">
        <v>200</v>
      </c>
      <c r="B147" s="2"/>
      <c r="C147" s="27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14"/>
      <c r="AI147" s="41"/>
    </row>
    <row r="148" spans="1:35" s="19" customFormat="1" ht="14" hidden="1">
      <c r="A148" s="20" t="s">
        <v>161</v>
      </c>
      <c r="B148" s="21" t="s">
        <v>162</v>
      </c>
      <c r="C148" s="12">
        <v>0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13">
        <v>0</v>
      </c>
      <c r="AD148" s="14">
        <f t="shared" si="22"/>
        <v>0</v>
      </c>
      <c r="AI148" s="41"/>
    </row>
    <row r="149" spans="1:35" s="19" customFormat="1" ht="14" hidden="1">
      <c r="A149" s="20" t="s">
        <v>163</v>
      </c>
      <c r="B149" s="21" t="s">
        <v>164</v>
      </c>
      <c r="C149" s="12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  <c r="AD149" s="14">
        <f t="shared" si="22"/>
        <v>0</v>
      </c>
      <c r="AI149" s="41"/>
    </row>
    <row r="150" spans="1:35" s="19" customFormat="1" ht="14" hidden="1">
      <c r="A150" s="20" t="s">
        <v>165</v>
      </c>
      <c r="B150" s="21" t="s">
        <v>166</v>
      </c>
      <c r="C150" s="12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  <c r="AD150" s="14">
        <f t="shared" si="22"/>
        <v>0</v>
      </c>
      <c r="AI150" s="41"/>
    </row>
    <row r="151" spans="1:35" s="19" customFormat="1" ht="14" hidden="1">
      <c r="A151" s="20" t="s">
        <v>167</v>
      </c>
      <c r="B151" s="21" t="s">
        <v>168</v>
      </c>
      <c r="C151" s="12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  <c r="AD151" s="14">
        <f t="shared" si="22"/>
        <v>0</v>
      </c>
      <c r="AI151" s="41"/>
    </row>
    <row r="152" spans="1:35" s="19" customFormat="1" ht="14" hidden="1">
      <c r="A152" s="20" t="s">
        <v>169</v>
      </c>
      <c r="B152" s="21" t="s">
        <v>170</v>
      </c>
      <c r="C152" s="12"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  <c r="AD152" s="14">
        <f t="shared" si="22"/>
        <v>0</v>
      </c>
      <c r="AI152" s="41"/>
    </row>
    <row r="153" spans="1:35" s="19" customFormat="1" ht="14" hidden="1">
      <c r="A153" s="20" t="s">
        <v>171</v>
      </c>
      <c r="B153" s="21" t="s">
        <v>172</v>
      </c>
      <c r="C153" s="12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  <c r="AD153" s="14">
        <f t="shared" si="22"/>
        <v>0</v>
      </c>
      <c r="AI153" s="41"/>
    </row>
    <row r="154" spans="1:35" s="19" customFormat="1" ht="14" hidden="1">
      <c r="A154" s="32" t="s">
        <v>201</v>
      </c>
      <c r="B154" s="23"/>
      <c r="C154" s="24">
        <f t="shared" ref="C154:AD154" si="26">SUM(C148:C153)</f>
        <v>0</v>
      </c>
      <c r="D154" s="25">
        <f t="shared" si="26"/>
        <v>0</v>
      </c>
      <c r="E154" s="25">
        <f t="shared" si="26"/>
        <v>0</v>
      </c>
      <c r="F154" s="25">
        <f t="shared" si="26"/>
        <v>0</v>
      </c>
      <c r="G154" s="25">
        <f t="shared" si="26"/>
        <v>0</v>
      </c>
      <c r="H154" s="25">
        <f t="shared" si="26"/>
        <v>0</v>
      </c>
      <c r="I154" s="25">
        <f t="shared" si="26"/>
        <v>0</v>
      </c>
      <c r="J154" s="25">
        <f t="shared" ref="J154" si="27">SUM(J148:J153)</f>
        <v>0</v>
      </c>
      <c r="K154" s="25">
        <f t="shared" si="26"/>
        <v>0</v>
      </c>
      <c r="L154" s="25">
        <f t="shared" si="26"/>
        <v>0</v>
      </c>
      <c r="M154" s="25">
        <f t="shared" si="26"/>
        <v>0</v>
      </c>
      <c r="N154" s="25">
        <f t="shared" si="26"/>
        <v>0</v>
      </c>
      <c r="O154" s="25">
        <f t="shared" si="26"/>
        <v>0</v>
      </c>
      <c r="P154" s="25">
        <f t="shared" si="26"/>
        <v>0</v>
      </c>
      <c r="Q154" s="25">
        <f t="shared" si="26"/>
        <v>0</v>
      </c>
      <c r="R154" s="25">
        <f t="shared" si="26"/>
        <v>0</v>
      </c>
      <c r="S154" s="25">
        <f t="shared" si="26"/>
        <v>0</v>
      </c>
      <c r="T154" s="25">
        <f t="shared" si="26"/>
        <v>0</v>
      </c>
      <c r="U154" s="25">
        <f t="shared" si="26"/>
        <v>0</v>
      </c>
      <c r="V154" s="25">
        <f t="shared" si="26"/>
        <v>0</v>
      </c>
      <c r="W154" s="25">
        <f t="shared" si="26"/>
        <v>0</v>
      </c>
      <c r="X154" s="25">
        <f t="shared" si="26"/>
        <v>0</v>
      </c>
      <c r="Y154" s="25">
        <f t="shared" si="26"/>
        <v>0</v>
      </c>
      <c r="Z154" s="25">
        <f t="shared" si="26"/>
        <v>0</v>
      </c>
      <c r="AA154" s="25">
        <f t="shared" si="26"/>
        <v>0</v>
      </c>
      <c r="AB154" s="25">
        <f t="shared" si="26"/>
        <v>0</v>
      </c>
      <c r="AC154" s="25">
        <f t="shared" si="26"/>
        <v>0</v>
      </c>
      <c r="AD154" s="26">
        <f t="shared" si="26"/>
        <v>0</v>
      </c>
      <c r="AI154" s="41"/>
    </row>
    <row r="155" spans="1:35" s="19" customFormat="1">
      <c r="A155" s="10"/>
      <c r="B155" s="2"/>
      <c r="C155" s="27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14"/>
      <c r="AI155" s="41"/>
    </row>
    <row r="156" spans="1:35" s="19" customFormat="1" ht="42">
      <c r="A156" s="10" t="s">
        <v>202</v>
      </c>
      <c r="B156" s="2"/>
      <c r="C156" s="27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14"/>
      <c r="AI156" s="41"/>
    </row>
    <row r="157" spans="1:35" s="19" customFormat="1" ht="14">
      <c r="A157" s="20" t="s">
        <v>161</v>
      </c>
      <c r="B157" s="21" t="s">
        <v>162</v>
      </c>
      <c r="C157" s="34" t="s">
        <v>203</v>
      </c>
      <c r="D157" s="35">
        <v>0</v>
      </c>
      <c r="E157" s="35" t="s">
        <v>203</v>
      </c>
      <c r="F157" s="35" t="s">
        <v>203</v>
      </c>
      <c r="G157" s="35" t="s">
        <v>203</v>
      </c>
      <c r="H157" s="35">
        <v>0</v>
      </c>
      <c r="I157" s="35" t="s">
        <v>203</v>
      </c>
      <c r="J157" s="35" t="s">
        <v>203</v>
      </c>
      <c r="K157" s="35" t="s">
        <v>203</v>
      </c>
      <c r="L157" s="35" t="s">
        <v>203</v>
      </c>
      <c r="M157" s="35" t="s">
        <v>203</v>
      </c>
      <c r="N157" s="35">
        <v>0</v>
      </c>
      <c r="O157" s="35" t="s">
        <v>203</v>
      </c>
      <c r="P157" s="35" t="s">
        <v>203</v>
      </c>
      <c r="Q157" s="35" t="s">
        <v>203</v>
      </c>
      <c r="R157" s="35" t="s">
        <v>203</v>
      </c>
      <c r="S157" s="35" t="s">
        <v>203</v>
      </c>
      <c r="T157" s="35" t="s">
        <v>203</v>
      </c>
      <c r="U157" s="35">
        <v>0</v>
      </c>
      <c r="V157" s="35" t="s">
        <v>203</v>
      </c>
      <c r="W157" s="35" t="s">
        <v>203</v>
      </c>
      <c r="X157" s="35" t="s">
        <v>203</v>
      </c>
      <c r="Y157" s="35" t="s">
        <v>203</v>
      </c>
      <c r="Z157" s="35" t="s">
        <v>203</v>
      </c>
      <c r="AA157" s="35" t="s">
        <v>203</v>
      </c>
      <c r="AB157" s="35" t="s">
        <v>203</v>
      </c>
      <c r="AC157" s="35" t="s">
        <v>203</v>
      </c>
      <c r="AD157" s="36">
        <f t="shared" si="22"/>
        <v>0</v>
      </c>
      <c r="AI157" s="41"/>
    </row>
    <row r="158" spans="1:35" s="19" customFormat="1" ht="14">
      <c r="A158" s="20" t="s">
        <v>163</v>
      </c>
      <c r="B158" s="21" t="s">
        <v>164</v>
      </c>
      <c r="C158" s="34" t="s">
        <v>203</v>
      </c>
      <c r="D158" s="35">
        <v>0</v>
      </c>
      <c r="E158" s="35" t="s">
        <v>203</v>
      </c>
      <c r="F158" s="35" t="s">
        <v>203</v>
      </c>
      <c r="G158" s="35" t="s">
        <v>203</v>
      </c>
      <c r="H158" s="35">
        <v>0</v>
      </c>
      <c r="I158" s="35" t="s">
        <v>203</v>
      </c>
      <c r="J158" s="35" t="s">
        <v>203</v>
      </c>
      <c r="K158" s="35" t="s">
        <v>203</v>
      </c>
      <c r="L158" s="35" t="s">
        <v>203</v>
      </c>
      <c r="M158" s="35" t="s">
        <v>203</v>
      </c>
      <c r="N158" s="35">
        <v>0</v>
      </c>
      <c r="O158" s="35" t="s">
        <v>203</v>
      </c>
      <c r="P158" s="35" t="s">
        <v>203</v>
      </c>
      <c r="Q158" s="35" t="s">
        <v>203</v>
      </c>
      <c r="R158" s="35" t="s">
        <v>203</v>
      </c>
      <c r="S158" s="35" t="s">
        <v>203</v>
      </c>
      <c r="T158" s="35" t="s">
        <v>203</v>
      </c>
      <c r="U158" s="35">
        <v>0</v>
      </c>
      <c r="V158" s="35" t="s">
        <v>203</v>
      </c>
      <c r="W158" s="35" t="s">
        <v>203</v>
      </c>
      <c r="X158" s="35" t="s">
        <v>203</v>
      </c>
      <c r="Y158" s="35" t="s">
        <v>203</v>
      </c>
      <c r="Z158" s="35" t="s">
        <v>203</v>
      </c>
      <c r="AA158" s="35" t="s">
        <v>203</v>
      </c>
      <c r="AB158" s="35" t="s">
        <v>203</v>
      </c>
      <c r="AC158" s="35" t="s">
        <v>203</v>
      </c>
      <c r="AD158" s="36">
        <f t="shared" si="22"/>
        <v>0</v>
      </c>
      <c r="AI158" s="41"/>
    </row>
    <row r="159" spans="1:35" s="19" customFormat="1" ht="14">
      <c r="A159" s="20" t="s">
        <v>165</v>
      </c>
      <c r="B159" s="21" t="s">
        <v>166</v>
      </c>
      <c r="C159" s="34" t="s">
        <v>203</v>
      </c>
      <c r="D159" s="35">
        <f>'FY24 PPSEL Supp Summary'!F132</f>
        <v>4500</v>
      </c>
      <c r="E159" s="35" t="s">
        <v>203</v>
      </c>
      <c r="F159" s="35" t="s">
        <v>203</v>
      </c>
      <c r="G159" s="35" t="s">
        <v>203</v>
      </c>
      <c r="H159" s="35">
        <v>0</v>
      </c>
      <c r="I159" s="35" t="s">
        <v>203</v>
      </c>
      <c r="J159" s="35" t="s">
        <v>203</v>
      </c>
      <c r="K159" s="35" t="s">
        <v>203</v>
      </c>
      <c r="L159" s="35" t="s">
        <v>203</v>
      </c>
      <c r="M159" s="35" t="s">
        <v>203</v>
      </c>
      <c r="N159" s="35">
        <v>0</v>
      </c>
      <c r="O159" s="35" t="s">
        <v>203</v>
      </c>
      <c r="P159" s="35" t="s">
        <v>203</v>
      </c>
      <c r="Q159" s="35" t="s">
        <v>203</v>
      </c>
      <c r="R159" s="35" t="s">
        <v>203</v>
      </c>
      <c r="S159" s="35" t="s">
        <v>203</v>
      </c>
      <c r="T159" s="35" t="s">
        <v>203</v>
      </c>
      <c r="U159" s="35">
        <v>0</v>
      </c>
      <c r="V159" s="35" t="s">
        <v>203</v>
      </c>
      <c r="W159" s="35" t="s">
        <v>203</v>
      </c>
      <c r="X159" s="35" t="s">
        <v>203</v>
      </c>
      <c r="Y159" s="35" t="s">
        <v>203</v>
      </c>
      <c r="Z159" s="35" t="s">
        <v>203</v>
      </c>
      <c r="AA159" s="35" t="s">
        <v>203</v>
      </c>
      <c r="AB159" s="35" t="s">
        <v>203</v>
      </c>
      <c r="AC159" s="35" t="s">
        <v>203</v>
      </c>
      <c r="AD159" s="36">
        <f t="shared" si="22"/>
        <v>4500</v>
      </c>
      <c r="AI159" s="41"/>
    </row>
    <row r="160" spans="1:35" s="19" customFormat="1" ht="14">
      <c r="A160" s="20" t="s">
        <v>167</v>
      </c>
      <c r="B160" s="21" t="s">
        <v>168</v>
      </c>
      <c r="C160" s="34" t="s">
        <v>203</v>
      </c>
      <c r="D160" s="35">
        <v>0</v>
      </c>
      <c r="E160" s="35" t="s">
        <v>203</v>
      </c>
      <c r="F160" s="35" t="s">
        <v>203</v>
      </c>
      <c r="G160" s="35" t="s">
        <v>203</v>
      </c>
      <c r="H160" s="35">
        <v>0</v>
      </c>
      <c r="I160" s="35" t="s">
        <v>203</v>
      </c>
      <c r="J160" s="35" t="s">
        <v>203</v>
      </c>
      <c r="K160" s="35" t="s">
        <v>203</v>
      </c>
      <c r="L160" s="35" t="s">
        <v>203</v>
      </c>
      <c r="M160" s="35" t="s">
        <v>203</v>
      </c>
      <c r="N160" s="35">
        <v>0</v>
      </c>
      <c r="O160" s="35" t="s">
        <v>203</v>
      </c>
      <c r="P160" s="35" t="s">
        <v>203</v>
      </c>
      <c r="Q160" s="35" t="s">
        <v>203</v>
      </c>
      <c r="R160" s="35" t="s">
        <v>203</v>
      </c>
      <c r="S160" s="35" t="s">
        <v>203</v>
      </c>
      <c r="T160" s="35" t="s">
        <v>203</v>
      </c>
      <c r="U160" s="35">
        <v>0</v>
      </c>
      <c r="V160" s="35" t="s">
        <v>203</v>
      </c>
      <c r="W160" s="35" t="s">
        <v>203</v>
      </c>
      <c r="X160" s="35" t="s">
        <v>203</v>
      </c>
      <c r="Y160" s="35" t="s">
        <v>203</v>
      </c>
      <c r="Z160" s="35" t="s">
        <v>203</v>
      </c>
      <c r="AA160" s="35" t="s">
        <v>203</v>
      </c>
      <c r="AB160" s="35" t="s">
        <v>203</v>
      </c>
      <c r="AC160" s="35" t="s">
        <v>203</v>
      </c>
      <c r="AD160" s="36">
        <f t="shared" si="22"/>
        <v>0</v>
      </c>
      <c r="AI160" s="41"/>
    </row>
    <row r="161" spans="1:35" s="19" customFormat="1" ht="14">
      <c r="A161" s="20" t="s">
        <v>169</v>
      </c>
      <c r="B161" s="21" t="s">
        <v>170</v>
      </c>
      <c r="C161" s="34" t="s">
        <v>203</v>
      </c>
      <c r="D161" s="35">
        <v>0</v>
      </c>
      <c r="E161" s="35" t="s">
        <v>203</v>
      </c>
      <c r="F161" s="35" t="s">
        <v>203</v>
      </c>
      <c r="G161" s="35" t="s">
        <v>203</v>
      </c>
      <c r="H161" s="35">
        <v>0</v>
      </c>
      <c r="I161" s="35" t="s">
        <v>203</v>
      </c>
      <c r="J161" s="35" t="s">
        <v>203</v>
      </c>
      <c r="K161" s="35" t="s">
        <v>203</v>
      </c>
      <c r="L161" s="35" t="s">
        <v>203</v>
      </c>
      <c r="M161" s="35" t="s">
        <v>203</v>
      </c>
      <c r="N161" s="35">
        <v>0</v>
      </c>
      <c r="O161" s="35" t="s">
        <v>203</v>
      </c>
      <c r="P161" s="35" t="s">
        <v>203</v>
      </c>
      <c r="Q161" s="35" t="s">
        <v>203</v>
      </c>
      <c r="R161" s="35" t="s">
        <v>203</v>
      </c>
      <c r="S161" s="35" t="s">
        <v>203</v>
      </c>
      <c r="T161" s="35" t="s">
        <v>203</v>
      </c>
      <c r="U161" s="35">
        <v>0</v>
      </c>
      <c r="V161" s="35" t="s">
        <v>203</v>
      </c>
      <c r="W161" s="35" t="s">
        <v>203</v>
      </c>
      <c r="X161" s="35" t="s">
        <v>203</v>
      </c>
      <c r="Y161" s="35" t="s">
        <v>203</v>
      </c>
      <c r="Z161" s="35" t="s">
        <v>203</v>
      </c>
      <c r="AA161" s="35" t="s">
        <v>203</v>
      </c>
      <c r="AB161" s="35" t="s">
        <v>203</v>
      </c>
      <c r="AC161" s="35" t="s">
        <v>203</v>
      </c>
      <c r="AD161" s="36">
        <f t="shared" si="22"/>
        <v>0</v>
      </c>
      <c r="AI161" s="41"/>
    </row>
    <row r="162" spans="1:35" s="19" customFormat="1" ht="14">
      <c r="A162" s="20" t="s">
        <v>171</v>
      </c>
      <c r="B162" s="21" t="s">
        <v>172</v>
      </c>
      <c r="C162" s="12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  <c r="AD162" s="14">
        <f t="shared" si="22"/>
        <v>0</v>
      </c>
      <c r="AI162" s="41"/>
    </row>
    <row r="163" spans="1:35" s="19" customFormat="1" ht="14">
      <c r="A163" s="32" t="s">
        <v>204</v>
      </c>
      <c r="B163" s="23"/>
      <c r="C163" s="24">
        <f t="shared" ref="C163:AD163" si="28">SUM(C157:C162)</f>
        <v>0</v>
      </c>
      <c r="D163" s="25">
        <f t="shared" si="28"/>
        <v>4500</v>
      </c>
      <c r="E163" s="25">
        <f t="shared" si="28"/>
        <v>0</v>
      </c>
      <c r="F163" s="25">
        <f t="shared" si="28"/>
        <v>0</v>
      </c>
      <c r="G163" s="25">
        <f>SUM(G157:G162)</f>
        <v>0</v>
      </c>
      <c r="H163" s="25">
        <f t="shared" si="28"/>
        <v>0</v>
      </c>
      <c r="I163" s="25">
        <f t="shared" si="28"/>
        <v>0</v>
      </c>
      <c r="J163" s="25">
        <f t="shared" si="28"/>
        <v>0</v>
      </c>
      <c r="K163" s="25">
        <f t="shared" si="28"/>
        <v>0</v>
      </c>
      <c r="L163" s="25">
        <f t="shared" si="28"/>
        <v>0</v>
      </c>
      <c r="M163" s="25">
        <f t="shared" si="28"/>
        <v>0</v>
      </c>
      <c r="N163" s="25">
        <f t="shared" si="28"/>
        <v>0</v>
      </c>
      <c r="O163" s="25">
        <f t="shared" si="28"/>
        <v>0</v>
      </c>
      <c r="P163" s="25">
        <f t="shared" si="28"/>
        <v>0</v>
      </c>
      <c r="Q163" s="25">
        <f t="shared" si="28"/>
        <v>0</v>
      </c>
      <c r="R163" s="25">
        <f t="shared" si="28"/>
        <v>0</v>
      </c>
      <c r="S163" s="25">
        <f t="shared" si="28"/>
        <v>0</v>
      </c>
      <c r="T163" s="25">
        <f t="shared" si="28"/>
        <v>0</v>
      </c>
      <c r="U163" s="25">
        <f t="shared" si="28"/>
        <v>0</v>
      </c>
      <c r="V163" s="25">
        <f t="shared" si="28"/>
        <v>0</v>
      </c>
      <c r="W163" s="25">
        <f t="shared" si="28"/>
        <v>0</v>
      </c>
      <c r="X163" s="25">
        <f t="shared" si="28"/>
        <v>0</v>
      </c>
      <c r="Y163" s="25">
        <f t="shared" si="28"/>
        <v>0</v>
      </c>
      <c r="Z163" s="25">
        <f t="shared" si="28"/>
        <v>0</v>
      </c>
      <c r="AA163" s="25">
        <f t="shared" si="28"/>
        <v>0</v>
      </c>
      <c r="AB163" s="25">
        <f t="shared" si="28"/>
        <v>0</v>
      </c>
      <c r="AC163" s="25">
        <f t="shared" si="28"/>
        <v>0</v>
      </c>
      <c r="AD163" s="26">
        <f t="shared" si="28"/>
        <v>4500</v>
      </c>
      <c r="AI163" s="41"/>
    </row>
    <row r="164" spans="1:35" s="19" customFormat="1">
      <c r="A164" s="10"/>
      <c r="B164" s="2"/>
      <c r="C164" s="27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14"/>
      <c r="AI164" s="41"/>
    </row>
    <row r="165" spans="1:35" s="19" customFormat="1" ht="14">
      <c r="A165" s="22" t="s">
        <v>75</v>
      </c>
      <c r="B165" s="23"/>
      <c r="C165" s="24">
        <f t="shared" ref="C165:AD165" si="29">SUM(C145+C28+C163+C154)</f>
        <v>0</v>
      </c>
      <c r="D165" s="25">
        <f t="shared" si="29"/>
        <v>4657830.66</v>
      </c>
      <c r="E165" s="25">
        <f t="shared" si="29"/>
        <v>0</v>
      </c>
      <c r="F165" s="25">
        <f t="shared" si="29"/>
        <v>0</v>
      </c>
      <c r="G165" s="25">
        <f t="shared" si="29"/>
        <v>0</v>
      </c>
      <c r="H165" s="25">
        <f t="shared" si="29"/>
        <v>397660.04000000004</v>
      </c>
      <c r="I165" s="25">
        <f t="shared" si="29"/>
        <v>0</v>
      </c>
      <c r="J165" s="25">
        <f t="shared" ref="J165" si="30">SUM(J145+J28+J163+J154)</f>
        <v>0</v>
      </c>
      <c r="K165" s="25">
        <f t="shared" si="29"/>
        <v>0</v>
      </c>
      <c r="L165" s="25">
        <f t="shared" si="29"/>
        <v>0</v>
      </c>
      <c r="M165" s="25">
        <f t="shared" si="29"/>
        <v>0</v>
      </c>
      <c r="N165" s="25">
        <f t="shared" si="29"/>
        <v>0</v>
      </c>
      <c r="O165" s="25">
        <f t="shared" si="29"/>
        <v>0</v>
      </c>
      <c r="P165" s="25">
        <f t="shared" si="29"/>
        <v>0</v>
      </c>
      <c r="Q165" s="25">
        <f t="shared" si="29"/>
        <v>0</v>
      </c>
      <c r="R165" s="25">
        <f t="shared" si="29"/>
        <v>0</v>
      </c>
      <c r="S165" s="25">
        <f t="shared" si="29"/>
        <v>0</v>
      </c>
      <c r="T165" s="25">
        <f t="shared" si="29"/>
        <v>0</v>
      </c>
      <c r="U165" s="25">
        <f t="shared" si="29"/>
        <v>-302595</v>
      </c>
      <c r="V165" s="25">
        <f t="shared" si="29"/>
        <v>0</v>
      </c>
      <c r="W165" s="25">
        <f t="shared" si="29"/>
        <v>0</v>
      </c>
      <c r="X165" s="25">
        <f t="shared" si="29"/>
        <v>0</v>
      </c>
      <c r="Y165" s="25">
        <f t="shared" si="29"/>
        <v>0</v>
      </c>
      <c r="Z165" s="25">
        <f t="shared" si="29"/>
        <v>0</v>
      </c>
      <c r="AA165" s="25">
        <f t="shared" si="29"/>
        <v>0</v>
      </c>
      <c r="AB165" s="25">
        <f t="shared" si="29"/>
        <v>0</v>
      </c>
      <c r="AC165" s="25">
        <f t="shared" si="29"/>
        <v>0</v>
      </c>
      <c r="AD165" s="26">
        <f t="shared" si="29"/>
        <v>4752895.6999999993</v>
      </c>
      <c r="AF165" s="41">
        <f>'FY24 PPSEL Supp Summary'!I209</f>
        <v>0</v>
      </c>
      <c r="AG165" s="44">
        <f>AF165-AD165</f>
        <v>-4752895.6999999993</v>
      </c>
      <c r="AI165" s="41"/>
    </row>
    <row r="166" spans="1:35" s="19" customFormat="1">
      <c r="A166" s="10"/>
      <c r="B166" s="2"/>
      <c r="C166" s="27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14"/>
      <c r="AI166" s="41"/>
    </row>
    <row r="167" spans="1:35" s="19" customFormat="1" ht="14">
      <c r="A167" s="10" t="s">
        <v>205</v>
      </c>
      <c r="B167" s="2"/>
      <c r="C167" s="2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14"/>
      <c r="AI167" s="41"/>
    </row>
    <row r="168" spans="1:35" s="19" customFormat="1" ht="14">
      <c r="A168" s="29" t="s">
        <v>206</v>
      </c>
      <c r="B168" s="21" t="s">
        <v>207</v>
      </c>
      <c r="C168" s="12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13">
        <v>0</v>
      </c>
      <c r="AD168" s="14">
        <f t="shared" si="22"/>
        <v>0</v>
      </c>
      <c r="AI168" s="41"/>
    </row>
    <row r="169" spans="1:35" s="19" customFormat="1" ht="14">
      <c r="A169" s="29" t="s">
        <v>208</v>
      </c>
      <c r="B169" s="21" t="s">
        <v>207</v>
      </c>
      <c r="C169" s="12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13">
        <v>0</v>
      </c>
      <c r="AD169" s="14">
        <f t="shared" si="22"/>
        <v>0</v>
      </c>
      <c r="AI169" s="41"/>
    </row>
    <row r="170" spans="1:35" s="19" customFormat="1" ht="14">
      <c r="A170" s="29" t="s">
        <v>209</v>
      </c>
      <c r="B170" s="21" t="s">
        <v>207</v>
      </c>
      <c r="C170" s="12"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13">
        <v>0</v>
      </c>
      <c r="AD170" s="14">
        <f t="shared" si="22"/>
        <v>0</v>
      </c>
      <c r="AI170" s="41"/>
    </row>
    <row r="171" spans="1:35" s="19" customFormat="1" ht="14">
      <c r="A171" s="29" t="s">
        <v>210</v>
      </c>
      <c r="B171" s="21" t="s">
        <v>207</v>
      </c>
      <c r="C171" s="12">
        <v>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13">
        <v>0</v>
      </c>
      <c r="AD171" s="14">
        <f t="shared" si="22"/>
        <v>0</v>
      </c>
      <c r="AI171" s="41"/>
    </row>
    <row r="172" spans="1:35" s="19" customFormat="1" ht="14">
      <c r="A172" s="29" t="s">
        <v>211</v>
      </c>
      <c r="B172" s="21" t="s">
        <v>207</v>
      </c>
      <c r="C172" s="12"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13">
        <v>0</v>
      </c>
      <c r="AA172" s="13">
        <v>0</v>
      </c>
      <c r="AB172" s="13">
        <v>0</v>
      </c>
      <c r="AC172" s="13">
        <v>0</v>
      </c>
      <c r="AD172" s="14">
        <f t="shared" si="22"/>
        <v>0</v>
      </c>
      <c r="AI172" s="41"/>
    </row>
    <row r="173" spans="1:35" s="19" customFormat="1" ht="14">
      <c r="A173" s="45" t="s">
        <v>212</v>
      </c>
      <c r="B173" s="21" t="s">
        <v>207</v>
      </c>
      <c r="C173" s="12"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>
        <v>0</v>
      </c>
      <c r="Z173" s="13">
        <v>0</v>
      </c>
      <c r="AA173" s="13">
        <v>0</v>
      </c>
      <c r="AB173" s="13">
        <v>0</v>
      </c>
      <c r="AC173" s="13">
        <v>0</v>
      </c>
      <c r="AD173" s="14">
        <f t="shared" si="22"/>
        <v>0</v>
      </c>
      <c r="AI173" s="41"/>
    </row>
    <row r="174" spans="1:35" s="19" customFormat="1" ht="14">
      <c r="A174" s="22" t="s">
        <v>213</v>
      </c>
      <c r="B174" s="23"/>
      <c r="C174" s="24">
        <f>SUM(C168:C173)</f>
        <v>0</v>
      </c>
      <c r="D174" s="25">
        <f t="shared" ref="D174:AD174" si="31">SUM(D168:D173)</f>
        <v>0</v>
      </c>
      <c r="E174" s="25">
        <f t="shared" si="31"/>
        <v>0</v>
      </c>
      <c r="F174" s="25">
        <f t="shared" si="31"/>
        <v>0</v>
      </c>
      <c r="G174" s="25">
        <f t="shared" si="31"/>
        <v>0</v>
      </c>
      <c r="H174" s="25">
        <f t="shared" si="31"/>
        <v>0</v>
      </c>
      <c r="I174" s="25">
        <f t="shared" si="31"/>
        <v>0</v>
      </c>
      <c r="J174" s="25">
        <f t="shared" si="31"/>
        <v>0</v>
      </c>
      <c r="K174" s="25">
        <f t="shared" si="31"/>
        <v>0</v>
      </c>
      <c r="L174" s="25">
        <f t="shared" si="31"/>
        <v>0</v>
      </c>
      <c r="M174" s="25">
        <f t="shared" si="31"/>
        <v>0</v>
      </c>
      <c r="N174" s="25">
        <f t="shared" si="31"/>
        <v>0</v>
      </c>
      <c r="O174" s="25">
        <f t="shared" si="31"/>
        <v>0</v>
      </c>
      <c r="P174" s="25">
        <f t="shared" si="31"/>
        <v>0</v>
      </c>
      <c r="Q174" s="25">
        <f t="shared" si="31"/>
        <v>0</v>
      </c>
      <c r="R174" s="25">
        <f t="shared" si="31"/>
        <v>0</v>
      </c>
      <c r="S174" s="25">
        <f t="shared" si="31"/>
        <v>0</v>
      </c>
      <c r="T174" s="25">
        <f t="shared" si="31"/>
        <v>0</v>
      </c>
      <c r="U174" s="25">
        <f t="shared" si="31"/>
        <v>0</v>
      </c>
      <c r="V174" s="25">
        <f t="shared" si="31"/>
        <v>0</v>
      </c>
      <c r="W174" s="25">
        <f t="shared" si="31"/>
        <v>0</v>
      </c>
      <c r="X174" s="25">
        <f t="shared" si="31"/>
        <v>0</v>
      </c>
      <c r="Y174" s="25">
        <f t="shared" si="31"/>
        <v>0</v>
      </c>
      <c r="Z174" s="25">
        <f t="shared" si="31"/>
        <v>0</v>
      </c>
      <c r="AA174" s="25">
        <f t="shared" si="31"/>
        <v>0</v>
      </c>
      <c r="AB174" s="25">
        <f t="shared" si="31"/>
        <v>0</v>
      </c>
      <c r="AC174" s="25">
        <f t="shared" si="31"/>
        <v>0</v>
      </c>
      <c r="AD174" s="26">
        <f t="shared" si="31"/>
        <v>0</v>
      </c>
      <c r="AI174" s="41"/>
    </row>
    <row r="175" spans="1:35" s="19" customFormat="1">
      <c r="A175" s="10"/>
      <c r="B175" s="2"/>
      <c r="C175" s="27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14"/>
      <c r="AI175" s="41"/>
    </row>
    <row r="176" spans="1:35" s="19" customFormat="1" ht="14">
      <c r="A176" s="22" t="s">
        <v>214</v>
      </c>
      <c r="B176" s="23"/>
      <c r="C176" s="24">
        <f t="shared" ref="C176:AD176" si="32">C165+C174</f>
        <v>0</v>
      </c>
      <c r="D176" s="25">
        <f t="shared" si="32"/>
        <v>4657830.66</v>
      </c>
      <c r="E176" s="25">
        <f t="shared" si="32"/>
        <v>0</v>
      </c>
      <c r="F176" s="25">
        <f t="shared" si="32"/>
        <v>0</v>
      </c>
      <c r="G176" s="25">
        <f t="shared" si="32"/>
        <v>0</v>
      </c>
      <c r="H176" s="25">
        <f t="shared" si="32"/>
        <v>397660.04000000004</v>
      </c>
      <c r="I176" s="25">
        <f t="shared" si="32"/>
        <v>0</v>
      </c>
      <c r="J176" s="25">
        <f t="shared" si="32"/>
        <v>0</v>
      </c>
      <c r="K176" s="25">
        <f t="shared" si="32"/>
        <v>0</v>
      </c>
      <c r="L176" s="25">
        <f t="shared" si="32"/>
        <v>0</v>
      </c>
      <c r="M176" s="25">
        <f t="shared" si="32"/>
        <v>0</v>
      </c>
      <c r="N176" s="25">
        <f t="shared" si="32"/>
        <v>0</v>
      </c>
      <c r="O176" s="25">
        <f t="shared" si="32"/>
        <v>0</v>
      </c>
      <c r="P176" s="25">
        <f t="shared" si="32"/>
        <v>0</v>
      </c>
      <c r="Q176" s="25">
        <f t="shared" si="32"/>
        <v>0</v>
      </c>
      <c r="R176" s="25">
        <f t="shared" si="32"/>
        <v>0</v>
      </c>
      <c r="S176" s="25">
        <f t="shared" si="32"/>
        <v>0</v>
      </c>
      <c r="T176" s="25">
        <f t="shared" si="32"/>
        <v>0</v>
      </c>
      <c r="U176" s="25">
        <f t="shared" si="32"/>
        <v>-302595</v>
      </c>
      <c r="V176" s="25">
        <f t="shared" si="32"/>
        <v>0</v>
      </c>
      <c r="W176" s="25">
        <f t="shared" si="32"/>
        <v>0</v>
      </c>
      <c r="X176" s="25">
        <f t="shared" si="32"/>
        <v>0</v>
      </c>
      <c r="Y176" s="25">
        <f t="shared" si="32"/>
        <v>0</v>
      </c>
      <c r="Z176" s="25">
        <f t="shared" si="32"/>
        <v>0</v>
      </c>
      <c r="AA176" s="25">
        <f t="shared" si="32"/>
        <v>0</v>
      </c>
      <c r="AB176" s="25">
        <f t="shared" si="32"/>
        <v>0</v>
      </c>
      <c r="AC176" s="25">
        <f t="shared" si="32"/>
        <v>0</v>
      </c>
      <c r="AD176" s="26">
        <f t="shared" si="32"/>
        <v>4752895.6999999993</v>
      </c>
      <c r="AI176" s="41"/>
    </row>
    <row r="177" spans="1:35" s="19" customFormat="1">
      <c r="A177" s="10"/>
      <c r="B177" s="2"/>
      <c r="C177" s="27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14"/>
      <c r="AI177" s="41"/>
    </row>
    <row r="178" spans="1:35" s="19" customFormat="1" ht="14">
      <c r="A178" s="10" t="s">
        <v>215</v>
      </c>
      <c r="B178" s="2"/>
      <c r="C178" s="27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14"/>
      <c r="AI178" s="41"/>
    </row>
    <row r="179" spans="1:35" s="19" customFormat="1" ht="14">
      <c r="A179" s="29" t="s">
        <v>216</v>
      </c>
      <c r="B179" s="2" t="s">
        <v>217</v>
      </c>
      <c r="C179" s="12">
        <v>0</v>
      </c>
      <c r="D179" s="40">
        <f>18735</f>
        <v>18735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13">
        <v>0</v>
      </c>
      <c r="AD179" s="14">
        <f t="shared" si="22"/>
        <v>18735</v>
      </c>
      <c r="AI179" s="41"/>
    </row>
    <row r="180" spans="1:35" s="19" customFormat="1" ht="14">
      <c r="A180" s="29" t="s">
        <v>218</v>
      </c>
      <c r="B180" s="2" t="s">
        <v>219</v>
      </c>
      <c r="C180" s="12">
        <v>0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13">
        <v>0</v>
      </c>
      <c r="AD180" s="14">
        <f t="shared" si="22"/>
        <v>0</v>
      </c>
      <c r="AI180" s="41"/>
    </row>
    <row r="181" spans="1:35" s="19" customFormat="1" ht="14">
      <c r="A181" s="29" t="s">
        <v>220</v>
      </c>
      <c r="B181" s="2" t="s">
        <v>221</v>
      </c>
      <c r="C181" s="12">
        <v>0</v>
      </c>
      <c r="D181" s="40">
        <v>136000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0</v>
      </c>
      <c r="V181" s="13">
        <v>0</v>
      </c>
      <c r="W181" s="13">
        <v>0</v>
      </c>
      <c r="X181" s="13">
        <v>0</v>
      </c>
      <c r="Y181" s="13">
        <v>0</v>
      </c>
      <c r="Z181" s="13">
        <v>0</v>
      </c>
      <c r="AA181" s="13">
        <v>0</v>
      </c>
      <c r="AB181" s="13">
        <v>0</v>
      </c>
      <c r="AC181" s="13">
        <v>0</v>
      </c>
      <c r="AD181" s="14">
        <f t="shared" si="22"/>
        <v>136000</v>
      </c>
      <c r="AI181" s="41"/>
    </row>
    <row r="182" spans="1:35" s="19" customFormat="1" ht="14">
      <c r="A182" s="29" t="s">
        <v>222</v>
      </c>
      <c r="B182" s="2" t="s">
        <v>223</v>
      </c>
      <c r="C182" s="12">
        <v>0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0</v>
      </c>
      <c r="V182" s="13">
        <v>0</v>
      </c>
      <c r="W182" s="13">
        <v>0</v>
      </c>
      <c r="X182" s="13">
        <v>0</v>
      </c>
      <c r="Y182" s="13">
        <v>0</v>
      </c>
      <c r="Z182" s="13">
        <v>0</v>
      </c>
      <c r="AA182" s="13">
        <v>0</v>
      </c>
      <c r="AB182" s="13">
        <v>0</v>
      </c>
      <c r="AC182" s="13">
        <v>0</v>
      </c>
      <c r="AD182" s="14">
        <f t="shared" si="22"/>
        <v>0</v>
      </c>
      <c r="AI182" s="41"/>
    </row>
    <row r="183" spans="1:35" s="19" customFormat="1" ht="14">
      <c r="A183" s="45" t="s">
        <v>224</v>
      </c>
      <c r="B183" s="2" t="s">
        <v>225</v>
      </c>
      <c r="C183" s="12">
        <v>0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13">
        <v>0</v>
      </c>
      <c r="AD183" s="14">
        <f t="shared" si="22"/>
        <v>0</v>
      </c>
      <c r="AI183" s="41"/>
    </row>
    <row r="184" spans="1:35" s="19" customFormat="1" ht="14">
      <c r="A184" s="29" t="s">
        <v>226</v>
      </c>
      <c r="B184" s="2" t="s">
        <v>227</v>
      </c>
      <c r="C184" s="12">
        <v>0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13">
        <v>0</v>
      </c>
      <c r="AD184" s="14">
        <f t="shared" si="22"/>
        <v>0</v>
      </c>
      <c r="AI184" s="41"/>
    </row>
    <row r="185" spans="1:35" s="19" customFormat="1" ht="14">
      <c r="A185" s="29" t="s">
        <v>228</v>
      </c>
      <c r="B185" s="2" t="s">
        <v>229</v>
      </c>
      <c r="C185" s="12"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13">
        <v>0</v>
      </c>
      <c r="AD185" s="14">
        <f t="shared" si="22"/>
        <v>0</v>
      </c>
      <c r="AI185" s="41"/>
    </row>
    <row r="186" spans="1:35" s="19" customFormat="1" ht="14">
      <c r="A186" s="29" t="s">
        <v>230</v>
      </c>
      <c r="B186" s="2" t="s">
        <v>231</v>
      </c>
      <c r="C186" s="12">
        <v>0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  <c r="AD186" s="14">
        <f t="shared" si="22"/>
        <v>0</v>
      </c>
      <c r="AI186" s="41"/>
    </row>
    <row r="187" spans="1:35" s="19" customFormat="1" ht="14">
      <c r="A187" s="29" t="s">
        <v>232</v>
      </c>
      <c r="B187" s="2" t="s">
        <v>233</v>
      </c>
      <c r="C187" s="12"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13">
        <v>0</v>
      </c>
      <c r="AD187" s="14">
        <f t="shared" ref="AD187" si="33">SUM(C187:AC187)</f>
        <v>0</v>
      </c>
      <c r="AI187" s="41"/>
    </row>
    <row r="188" spans="1:35" s="19" customFormat="1" ht="14">
      <c r="A188" s="29" t="s">
        <v>234</v>
      </c>
      <c r="B188" s="2" t="s">
        <v>235</v>
      </c>
      <c r="C188" s="12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13">
        <v>0</v>
      </c>
      <c r="AD188" s="14">
        <f t="shared" si="22"/>
        <v>0</v>
      </c>
      <c r="AI188" s="41"/>
    </row>
    <row r="189" spans="1:35" s="19" customFormat="1" ht="14">
      <c r="A189" s="29" t="s">
        <v>236</v>
      </c>
      <c r="B189" s="2" t="s">
        <v>235</v>
      </c>
      <c r="C189" s="12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  <c r="AD189" s="14">
        <f t="shared" si="22"/>
        <v>0</v>
      </c>
      <c r="AI189" s="41"/>
    </row>
    <row r="190" spans="1:35" s="19" customFormat="1" ht="14">
      <c r="A190" s="29" t="s">
        <v>237</v>
      </c>
      <c r="B190" s="2" t="s">
        <v>238</v>
      </c>
      <c r="C190" s="12">
        <v>0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13">
        <v>0</v>
      </c>
      <c r="AD190" s="14">
        <f t="shared" si="22"/>
        <v>0</v>
      </c>
      <c r="AI190" s="41"/>
    </row>
    <row r="191" spans="1:35" s="19" customFormat="1" ht="14">
      <c r="A191" s="29" t="s">
        <v>239</v>
      </c>
      <c r="B191" s="2" t="s">
        <v>240</v>
      </c>
      <c r="C191" s="12">
        <v>0</v>
      </c>
      <c r="D191" s="40">
        <f>3066610</f>
        <v>3066610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13">
        <v>0</v>
      </c>
      <c r="AD191" s="14">
        <f t="shared" si="22"/>
        <v>3066610</v>
      </c>
      <c r="AI191" s="41"/>
    </row>
    <row r="192" spans="1:35" s="19" customFormat="1" ht="14">
      <c r="A192" s="29" t="s">
        <v>241</v>
      </c>
      <c r="B192" s="2" t="s">
        <v>242</v>
      </c>
      <c r="C192" s="12">
        <v>0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13">
        <v>0</v>
      </c>
      <c r="AD192" s="14">
        <f t="shared" si="22"/>
        <v>0</v>
      </c>
      <c r="AI192" s="41"/>
    </row>
    <row r="193" spans="1:35" s="19" customFormat="1" ht="14">
      <c r="A193" s="29" t="s">
        <v>243</v>
      </c>
      <c r="B193" s="2" t="s">
        <v>244</v>
      </c>
      <c r="C193" s="12">
        <v>0</v>
      </c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40">
        <f>25636+281</f>
        <v>25917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13">
        <v>0</v>
      </c>
      <c r="AD193" s="14">
        <f t="shared" si="22"/>
        <v>25917</v>
      </c>
      <c r="AI193" s="41"/>
    </row>
    <row r="194" spans="1:35" s="19" customFormat="1" ht="14">
      <c r="A194" s="29" t="s">
        <v>245</v>
      </c>
      <c r="B194" s="2" t="s">
        <v>246</v>
      </c>
      <c r="C194" s="12">
        <v>0</v>
      </c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13">
        <v>0</v>
      </c>
      <c r="AD194" s="14">
        <f t="shared" si="22"/>
        <v>0</v>
      </c>
      <c r="AI194" s="41"/>
    </row>
    <row r="195" spans="1:35" s="19" customFormat="1" ht="14">
      <c r="A195" s="22" t="s">
        <v>247</v>
      </c>
      <c r="B195" s="23"/>
      <c r="C195" s="24">
        <f t="shared" ref="C195:AD195" si="34">SUM(C179:C194)</f>
        <v>0</v>
      </c>
      <c r="D195" s="25">
        <f>SUM(D179:D194)</f>
        <v>3221345</v>
      </c>
      <c r="E195" s="25">
        <f t="shared" si="34"/>
        <v>0</v>
      </c>
      <c r="F195" s="25">
        <f t="shared" si="34"/>
        <v>0</v>
      </c>
      <c r="G195" s="25">
        <f t="shared" si="34"/>
        <v>0</v>
      </c>
      <c r="H195" s="25">
        <f t="shared" si="34"/>
        <v>0</v>
      </c>
      <c r="I195" s="25">
        <f t="shared" si="34"/>
        <v>0</v>
      </c>
      <c r="J195" s="25">
        <f t="shared" si="34"/>
        <v>0</v>
      </c>
      <c r="K195" s="25">
        <f t="shared" si="34"/>
        <v>0</v>
      </c>
      <c r="L195" s="25">
        <f t="shared" si="34"/>
        <v>0</v>
      </c>
      <c r="M195" s="25">
        <f t="shared" si="34"/>
        <v>0</v>
      </c>
      <c r="N195" s="25">
        <f t="shared" si="34"/>
        <v>0</v>
      </c>
      <c r="O195" s="25">
        <f t="shared" si="34"/>
        <v>0</v>
      </c>
      <c r="P195" s="25">
        <f t="shared" si="34"/>
        <v>0</v>
      </c>
      <c r="Q195" s="25">
        <f t="shared" si="34"/>
        <v>0</v>
      </c>
      <c r="R195" s="25">
        <f t="shared" si="34"/>
        <v>0</v>
      </c>
      <c r="S195" s="25">
        <f t="shared" si="34"/>
        <v>0</v>
      </c>
      <c r="T195" s="25">
        <f t="shared" si="34"/>
        <v>0</v>
      </c>
      <c r="U195" s="25">
        <f t="shared" si="34"/>
        <v>25917</v>
      </c>
      <c r="V195" s="25">
        <f t="shared" si="34"/>
        <v>0</v>
      </c>
      <c r="W195" s="25">
        <f t="shared" si="34"/>
        <v>0</v>
      </c>
      <c r="X195" s="25">
        <f t="shared" si="34"/>
        <v>0</v>
      </c>
      <c r="Y195" s="25">
        <f t="shared" si="34"/>
        <v>0</v>
      </c>
      <c r="Z195" s="25">
        <f t="shared" si="34"/>
        <v>0</v>
      </c>
      <c r="AA195" s="25">
        <f t="shared" si="34"/>
        <v>0</v>
      </c>
      <c r="AB195" s="25">
        <f t="shared" si="34"/>
        <v>0</v>
      </c>
      <c r="AC195" s="25">
        <f t="shared" si="34"/>
        <v>0</v>
      </c>
      <c r="AD195" s="26">
        <f t="shared" si="34"/>
        <v>3247262</v>
      </c>
      <c r="AI195" s="41"/>
    </row>
    <row r="196" spans="1:35" s="19" customFormat="1">
      <c r="A196" s="10"/>
      <c r="B196" s="2"/>
      <c r="C196" s="27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14"/>
      <c r="AI196" s="41"/>
    </row>
    <row r="197" spans="1:35" s="19" customFormat="1" ht="56">
      <c r="A197" s="22" t="s">
        <v>248</v>
      </c>
      <c r="B197" s="23"/>
      <c r="C197" s="24">
        <f t="shared" ref="C197:AD197" si="35">C18-C176-C195</f>
        <v>0</v>
      </c>
      <c r="D197" s="25">
        <f>D18-D176-D195</f>
        <v>-251993.41000000015</v>
      </c>
      <c r="E197" s="25">
        <f t="shared" si="35"/>
        <v>0</v>
      </c>
      <c r="F197" s="25">
        <f t="shared" si="35"/>
        <v>0</v>
      </c>
      <c r="G197" s="25">
        <f t="shared" si="35"/>
        <v>0</v>
      </c>
      <c r="H197" s="25">
        <f t="shared" si="35"/>
        <v>-33000.466666666674</v>
      </c>
      <c r="I197" s="25">
        <f t="shared" si="35"/>
        <v>0</v>
      </c>
      <c r="J197" s="25">
        <f t="shared" si="35"/>
        <v>0</v>
      </c>
      <c r="K197" s="25">
        <f t="shared" si="35"/>
        <v>0</v>
      </c>
      <c r="L197" s="25">
        <f t="shared" si="35"/>
        <v>0</v>
      </c>
      <c r="M197" s="25">
        <f t="shared" si="35"/>
        <v>0</v>
      </c>
      <c r="N197" s="25">
        <f t="shared" si="35"/>
        <v>0</v>
      </c>
      <c r="O197" s="25">
        <f t="shared" si="35"/>
        <v>0</v>
      </c>
      <c r="P197" s="25">
        <f t="shared" si="35"/>
        <v>0</v>
      </c>
      <c r="Q197" s="25">
        <f t="shared" si="35"/>
        <v>0</v>
      </c>
      <c r="R197" s="25">
        <f t="shared" si="35"/>
        <v>0</v>
      </c>
      <c r="S197" s="25">
        <f t="shared" si="35"/>
        <v>0</v>
      </c>
      <c r="T197" s="25">
        <f t="shared" si="35"/>
        <v>0</v>
      </c>
      <c r="U197" s="25">
        <f t="shared" si="35"/>
        <v>605202</v>
      </c>
      <c r="V197" s="25">
        <f t="shared" si="35"/>
        <v>0</v>
      </c>
      <c r="W197" s="25">
        <f t="shared" si="35"/>
        <v>0</v>
      </c>
      <c r="X197" s="25">
        <f t="shared" si="35"/>
        <v>0</v>
      </c>
      <c r="Y197" s="25">
        <f t="shared" si="35"/>
        <v>0</v>
      </c>
      <c r="Z197" s="25">
        <f t="shared" si="35"/>
        <v>0</v>
      </c>
      <c r="AA197" s="25">
        <f t="shared" si="35"/>
        <v>0</v>
      </c>
      <c r="AB197" s="25">
        <f t="shared" si="35"/>
        <v>0</v>
      </c>
      <c r="AC197" s="25">
        <f t="shared" si="35"/>
        <v>0</v>
      </c>
      <c r="AD197" s="26">
        <f t="shared" si="35"/>
        <v>320208.12333333399</v>
      </c>
      <c r="AI197" s="41"/>
    </row>
    <row r="199" spans="1:35" ht="28">
      <c r="A199" s="37" t="s">
        <v>249</v>
      </c>
      <c r="C199" s="38" t="str">
        <f t="shared" ref="C199:AD199" si="36">IF(C3&gt;C195,"Yes","No")</f>
        <v>No</v>
      </c>
      <c r="D199" s="38" t="str">
        <f t="shared" si="36"/>
        <v>No</v>
      </c>
      <c r="E199" s="38" t="str">
        <f t="shared" si="36"/>
        <v>No</v>
      </c>
      <c r="F199" s="38" t="str">
        <f t="shared" si="36"/>
        <v>No</v>
      </c>
      <c r="G199" s="38" t="str">
        <f t="shared" si="36"/>
        <v>No</v>
      </c>
      <c r="H199" s="38" t="str">
        <f t="shared" si="36"/>
        <v>No</v>
      </c>
      <c r="I199" s="38" t="str">
        <f t="shared" si="36"/>
        <v>No</v>
      </c>
      <c r="J199" s="38" t="str">
        <f t="shared" si="36"/>
        <v>No</v>
      </c>
      <c r="K199" s="38" t="str">
        <f t="shared" si="36"/>
        <v>No</v>
      </c>
      <c r="L199" s="38" t="str">
        <f t="shared" si="36"/>
        <v>No</v>
      </c>
      <c r="M199" s="38" t="str">
        <f t="shared" si="36"/>
        <v>No</v>
      </c>
      <c r="N199" s="38" t="str">
        <f t="shared" si="36"/>
        <v>No</v>
      </c>
      <c r="O199" s="38" t="str">
        <f t="shared" si="36"/>
        <v>No</v>
      </c>
      <c r="P199" s="38" t="str">
        <f t="shared" si="36"/>
        <v>No</v>
      </c>
      <c r="Q199" s="38" t="str">
        <f t="shared" si="36"/>
        <v>No</v>
      </c>
      <c r="R199" s="38" t="str">
        <f t="shared" si="36"/>
        <v>No</v>
      </c>
      <c r="S199" s="38" t="str">
        <f t="shared" si="36"/>
        <v>No</v>
      </c>
      <c r="T199" s="38" t="str">
        <f t="shared" si="36"/>
        <v>No</v>
      </c>
      <c r="U199" s="38" t="str">
        <f t="shared" si="36"/>
        <v>No</v>
      </c>
      <c r="V199" s="38" t="str">
        <f t="shared" si="36"/>
        <v>No</v>
      </c>
      <c r="W199" s="38" t="str">
        <f t="shared" si="36"/>
        <v>No</v>
      </c>
      <c r="X199" s="38" t="str">
        <f t="shared" si="36"/>
        <v>No</v>
      </c>
      <c r="Y199" s="38" t="str">
        <f t="shared" si="36"/>
        <v>No</v>
      </c>
      <c r="Z199" s="38" t="str">
        <f t="shared" si="36"/>
        <v>No</v>
      </c>
      <c r="AA199" s="38" t="str">
        <f t="shared" si="36"/>
        <v>No</v>
      </c>
      <c r="AB199" s="38" t="str">
        <f t="shared" si="36"/>
        <v>No</v>
      </c>
      <c r="AC199" s="38" t="str">
        <f t="shared" si="36"/>
        <v>No</v>
      </c>
      <c r="AD199" s="38" t="str">
        <f t="shared" si="36"/>
        <v>No</v>
      </c>
    </row>
  </sheetData>
  <conditionalFormatting sqref="C199:AD199">
    <cfRule type="cellIs" dxfId="0" priority="1" operator="equal">
      <formula>"Yes"</formula>
    </cfRule>
  </conditionalFormatting>
  <pageMargins left="0.7" right="0.7" top="0.75" bottom="0.75" header="0.3" footer="0.3"/>
  <pageSetup scale="81" orientation="landscape" horizontalDpi="1200" verticalDpi="1200" r:id="rId1"/>
  <rowBreaks count="5" manualBreakCount="5">
    <brk id="18" max="29" man="1"/>
    <brk id="46" max="29" man="1"/>
    <brk id="73" max="29" man="1"/>
    <brk id="108" max="29" man="1"/>
    <brk id="176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FY24 PPSEL Supplemental</vt:lpstr>
      <vt:lpstr>FY24 PPSEL Supp Summary</vt:lpstr>
      <vt:lpstr>Uniform Budget Summary</vt:lpstr>
      <vt:lpstr>'FY24 PPSEL Supp Summary'!Print_Area</vt:lpstr>
      <vt:lpstr>'FY24 PPSEL Supplemental'!Print_Area</vt:lpstr>
      <vt:lpstr>'Uniform Budget Summary'!Print_Area</vt:lpstr>
      <vt:lpstr>'Uniform Budget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Don Knapp</cp:lastModifiedBy>
  <cp:lastPrinted>2023-11-27T19:52:17Z</cp:lastPrinted>
  <dcterms:created xsi:type="dcterms:W3CDTF">2021-03-04T02:04:28Z</dcterms:created>
  <dcterms:modified xsi:type="dcterms:W3CDTF">2024-05-27T14:22:11Z</dcterms:modified>
</cp:coreProperties>
</file>